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設計計算書（Excel等通常使用）\公開用（パスワード設定）\案内看板などの安定計算\"/>
    </mc:Choice>
  </mc:AlternateContent>
  <xr:revisionPtr revIDLastSave="0" documentId="13_ncr:1_{0DD8D815-3080-4D39-9227-EA3C2807B0D0}" xr6:coauthVersionLast="47" xr6:coauthVersionMax="47" xr10:uidLastSave="{00000000-0000-0000-0000-000000000000}"/>
  <bookViews>
    <workbookView xWindow="30000" yWindow="300" windowWidth="23385" windowHeight="14145" xr2:uid="{00000000-000D-0000-FFFF-FFFF00000000}"/>
  </bookViews>
  <sheets>
    <sheet name="案内看板" sheetId="3" r:id="rId1"/>
    <sheet name="編集時" sheetId="4" r:id="rId2"/>
  </sheets>
  <externalReferences>
    <externalReference r:id="rId3"/>
    <externalReference r:id="rId4"/>
  </externalReferences>
  <definedNames>
    <definedName name="_CC1" localSheetId="1">[1]データー入力!$F$75</definedName>
    <definedName name="_CC1">[2]データー入力!$F$73</definedName>
    <definedName name="_CC2" localSheetId="1">[1]データー入力!$F$83</definedName>
    <definedName name="_CC2">[2]データー入力!$F$81</definedName>
    <definedName name="_j2" localSheetId="1">[1]データー入力!$D$129</definedName>
    <definedName name="_j2">[2]データー入力!$D$127</definedName>
    <definedName name="_k2" localSheetId="1">[1]データー入力!$D$128</definedName>
    <definedName name="_k2">[2]データー入力!$D$126</definedName>
    <definedName name="_M1" localSheetId="1">[1]データー入力!$G$61</definedName>
    <definedName name="_M1">[2]データー入力!$G$59</definedName>
    <definedName name="_M2" localSheetId="1">[1]データー入力!$G$66</definedName>
    <definedName name="_M2">[2]データー入力!$H$64</definedName>
    <definedName name="AS" localSheetId="1">[1]データー入力!$D$89</definedName>
    <definedName name="AS">[2]データー入力!$D$87</definedName>
    <definedName name="FS" localSheetId="1">[1]データー入力!$D$100</definedName>
    <definedName name="FS">[2]データー入力!$D$98</definedName>
    <definedName name="H" localSheetId="1">[1]データー入力!$E$43</definedName>
    <definedName name="H">[2]データー入力!$E$41</definedName>
    <definedName name="J" localSheetId="1">[1]データー入力!$D$110</definedName>
    <definedName name="J">[2]データー入力!$D$108</definedName>
    <definedName name="K" localSheetId="1">[1]データー入力!$D$109</definedName>
    <definedName name="K">[2]データー入力!$D$107</definedName>
    <definedName name="MD" localSheetId="1">[1]データー入力!$G$56</definedName>
    <definedName name="MD">[2]データー入力!$G$54</definedName>
    <definedName name="MLI" localSheetId="1">[1]データー入力!$H$38</definedName>
    <definedName name="MLI">[2]データー入力!$I$36</definedName>
    <definedName name="_xlnm.Print_Area" localSheetId="0">案内看板!$B$2:$J$191</definedName>
    <definedName name="SD" localSheetId="1">[1]データー入力!$H$78</definedName>
    <definedName name="SD">[2]データー入力!$H$76</definedName>
    <definedName name="WW" localSheetId="1">[1]データー入力!$G$51</definedName>
    <definedName name="WW">[2]データー入力!$G$49</definedName>
    <definedName name="σc" localSheetId="1">[1]データー入力!$J$121</definedName>
    <definedName name="σc">[2]データー入力!$J$119</definedName>
    <definedName name="σc2" localSheetId="1">[1]データー入力!$J$140</definedName>
    <definedName name="σc2">[2]データー入力!$J$138</definedName>
    <definedName name="σca" localSheetId="1">[1]データー入力!$F$15</definedName>
    <definedName name="σca">[2]データー入力!$F$15</definedName>
    <definedName name="σs" localSheetId="1">[1]データー入力!$H$115</definedName>
    <definedName name="σs">[2]データー入力!$H$113</definedName>
    <definedName name="σs2" localSheetId="1">[1]データー入力!$I$134</definedName>
    <definedName name="σs2">[2]データー入力!$I$132</definedName>
    <definedName name="σsa" localSheetId="1">[1]データー入力!$F$16</definedName>
    <definedName name="σsa">[2]データー入力!$F$16</definedName>
    <definedName name="かぶり" localSheetId="1">[1]データー入力!$D$78</definedName>
    <definedName name="かぶり">[2]データー入力!$D$76</definedName>
    <definedName name="支間" localSheetId="1">[1]データー入力!$G$11</definedName>
    <definedName name="支間">[2]データー入力!$G$11</definedName>
    <definedName name="支間方向鉄筋間隔" localSheetId="1">[1]データー入力!$E$87</definedName>
    <definedName name="支間方向鉄筋間隔">[2]データー入力!$E$85</definedName>
    <definedName name="支間方向鉄筋径" localSheetId="1">[1]データー入力!$D$87</definedName>
    <definedName name="支間方向鉄筋径">[2]データー入力!$D$85</definedName>
    <definedName name="床版厚" localSheetId="1">[1]データー入力!$E$43</definedName>
    <definedName name="床版厚">[2]データー入力!$E$41</definedName>
    <definedName name="直角方向鉄筋間隔" localSheetId="1">[1]データー入力!$E$98</definedName>
    <definedName name="直角方向鉄筋間隔">[2]データー入力!$E$96</definedName>
    <definedName name="直角方向鉄筋径" localSheetId="1">[1]データー入力!$D$98</definedName>
    <definedName name="直角方向鉄筋径">[2]データー入力!$D$96</definedName>
    <definedName name="鉄筋表1" localSheetId="1">[1]データー入力!$D$145:$H$146</definedName>
    <definedName name="鉄筋表1">[2]データー入力!$D$143:$H$144</definedName>
    <definedName name="鉄筋表2" localSheetId="1">[1]データー入力!$D$148:$H$149</definedName>
    <definedName name="鉄筋表2">[2]データー入力!$D$146:$H$147</definedName>
    <definedName name="幅員" localSheetId="1">[1]データー入力!$G$12</definedName>
    <definedName name="幅員">[2]データー入力!$G$12</definedName>
    <definedName name="舗装厚" localSheetId="1">[1]データー入力!$G$13</definedName>
    <definedName name="舗装厚">[2]データー入力!$G$13</definedName>
    <definedName name="舗装種別" localSheetId="1">[1]データー入力!$F$3</definedName>
    <definedName name="舗装種別">[2]データー入力!$F$3</definedName>
    <definedName name="有効厚" localSheetId="1">[1]データー入力!$H$78</definedName>
    <definedName name="有効厚">[2]データー入力!$H$76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3" l="1"/>
  <c r="L33" i="3"/>
  <c r="L31" i="3"/>
  <c r="L30" i="3"/>
  <c r="L29" i="3"/>
  <c r="L28" i="3"/>
  <c r="L26" i="3"/>
  <c r="L25" i="3"/>
  <c r="L24" i="3"/>
  <c r="M168" i="3"/>
  <c r="M167" i="3"/>
  <c r="D158" i="3" l="1"/>
  <c r="D126" i="3" l="1"/>
  <c r="F140" i="3"/>
  <c r="I59" i="3" l="1"/>
  <c r="E138" i="3" s="1"/>
  <c r="F138" i="3"/>
  <c r="F139" i="3"/>
  <c r="D120" i="3"/>
  <c r="F120" i="3"/>
  <c r="D128" i="3" l="1"/>
  <c r="I129" i="3"/>
  <c r="G138" i="3"/>
  <c r="I71" i="3" l="1"/>
  <c r="C73" i="3" l="1"/>
  <c r="I73" i="3"/>
  <c r="I75" i="3" s="1"/>
  <c r="G75" i="3" l="1"/>
  <c r="F62" i="3"/>
  <c r="I60" i="3"/>
  <c r="C89" i="3" s="1"/>
  <c r="F54" i="3"/>
  <c r="L27" i="3" s="1"/>
  <c r="I77" i="3" l="1"/>
  <c r="C83" i="3" s="1"/>
  <c r="L32" i="3"/>
  <c r="D133" i="3"/>
  <c r="I133" i="3"/>
  <c r="E140" i="3" s="1"/>
  <c r="G140" i="3" s="1"/>
  <c r="G90" i="3"/>
  <c r="G83" i="3"/>
  <c r="E139" i="3" l="1"/>
  <c r="F152" i="3" s="1"/>
  <c r="G176" i="3" l="1"/>
  <c r="D176" i="3"/>
  <c r="E151" i="3"/>
  <c r="G139" i="3"/>
  <c r="G141" i="3" s="1"/>
  <c r="G144" i="3" s="1"/>
  <c r="F149" i="3" s="1"/>
  <c r="D148" i="3" l="1"/>
  <c r="F154" i="3"/>
  <c r="G160" i="3" s="1"/>
  <c r="D154" i="3"/>
  <c r="M166" i="3" l="1"/>
  <c r="E167" i="3"/>
  <c r="D160" i="3"/>
  <c r="D173" i="3"/>
  <c r="G174" i="3"/>
  <c r="I187" i="3" l="1"/>
  <c r="I183" i="3"/>
  <c r="D182" i="3"/>
  <c r="D186" i="3"/>
  <c r="I179" i="3"/>
  <c r="D179" i="3"/>
  <c r="O169" i="3"/>
  <c r="O170" i="3"/>
  <c r="M172" i="3" l="1" a="1"/>
  <c r="M172" i="3" s="1"/>
  <c r="F189" i="3" s="1"/>
  <c r="F167" i="3" a="1"/>
  <c r="F167" i="3" s="1"/>
  <c r="D167" i="3" a="1"/>
  <c r="D167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<sst xmlns="http://schemas.openxmlformats.org/spreadsheetml/2006/main" count="168" uniqueCount="142">
  <si>
    <t>１．設計条件</t>
  </si>
  <si>
    <t>（１）．設計荷重</t>
  </si>
  <si>
    <t>（２）．形状・寸法</t>
  </si>
  <si>
    <t>全高　</t>
  </si>
  <si>
    <t>m</t>
  </si>
  <si>
    <t>２．安定計算</t>
  </si>
  <si>
    <t>（１）．荷重の計算</t>
  </si>
  <si>
    <t>＝</t>
  </si>
  <si>
    <t>（２）．安定計算</t>
  </si>
  <si>
    <t>抵抗モーメント</t>
  </si>
  <si>
    <t>h1 =</t>
  </si>
  <si>
    <t>案内看板基礎安定計算</t>
    <rPh sb="0" eb="2">
      <t>アンナイ</t>
    </rPh>
    <rPh sb="2" eb="4">
      <t>カンバン</t>
    </rPh>
    <rPh sb="4" eb="6">
      <t>キソ</t>
    </rPh>
    <phoneticPr fontId="1"/>
  </si>
  <si>
    <t>Ｈ =</t>
    <phoneticPr fontId="1"/>
  </si>
  <si>
    <t>h2 =</t>
    <phoneticPr fontId="1"/>
  </si>
  <si>
    <t>基礎の高さ</t>
    <phoneticPr fontId="1"/>
  </si>
  <si>
    <t>L1 =</t>
    <phoneticPr fontId="1"/>
  </si>
  <si>
    <t>基礎の長さ</t>
    <rPh sb="3" eb="4">
      <t>ナガ</t>
    </rPh>
    <phoneticPr fontId="1"/>
  </si>
  <si>
    <t>基礎の幅</t>
    <rPh sb="3" eb="4">
      <t>ハバ</t>
    </rPh>
    <phoneticPr fontId="1"/>
  </si>
  <si>
    <t>h4 =</t>
    <phoneticPr fontId="1"/>
  </si>
  <si>
    <t>h3 =</t>
    <phoneticPr fontId="1"/>
  </si>
  <si>
    <t>基礎は無筋コンクリートとする。</t>
    <rPh sb="3" eb="4">
      <t>ム</t>
    </rPh>
    <rPh sb="4" eb="5">
      <t>キン</t>
    </rPh>
    <phoneticPr fontId="1"/>
  </si>
  <si>
    <t>h5 =</t>
    <phoneticPr fontId="1"/>
  </si>
  <si>
    <t>kN</t>
    <phoneticPr fontId="1"/>
  </si>
  <si>
    <t>kN･m</t>
    <phoneticPr fontId="1"/>
  </si>
  <si>
    <t>Ｗ =</t>
    <phoneticPr fontId="1"/>
  </si>
  <si>
    <t>基礎天端の深さ</t>
    <rPh sb="2" eb="4">
      <t>テンバ</t>
    </rPh>
    <rPh sb="5" eb="6">
      <t>フカ</t>
    </rPh>
    <phoneticPr fontId="1"/>
  </si>
  <si>
    <t>m</t>
    <phoneticPr fontId="1"/>
  </si>
  <si>
    <t>m 基礎1基当り 全長</t>
    <rPh sb="2" eb="4">
      <t>キソ</t>
    </rPh>
    <rPh sb="5" eb="7">
      <t>キアタ</t>
    </rPh>
    <rPh sb="9" eb="11">
      <t>ゼンチョウ</t>
    </rPh>
    <phoneticPr fontId="1"/>
  </si>
  <si>
    <r>
      <t>kN/m</t>
    </r>
    <r>
      <rPr>
        <vertAlign val="superscript"/>
        <sz val="10"/>
        <rFont val="ＭＳ 明朝"/>
        <family val="1"/>
        <charset val="128"/>
      </rPr>
      <t>3</t>
    </r>
    <phoneticPr fontId="1"/>
  </si>
  <si>
    <t>※ 道路橋示方書</t>
    <rPh sb="2" eb="8">
      <t>ドウロキョウシホウショ</t>
    </rPh>
    <phoneticPr fontId="1"/>
  </si>
  <si>
    <r>
      <t>風荷重の計算（受圧面積 1.00 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 xml:space="preserve"> 当り）</t>
    </r>
    <rPh sb="7" eb="11">
      <t>ジュアツメンセキ</t>
    </rPh>
    <rPh sb="20" eb="21">
      <t>アタ</t>
    </rPh>
    <phoneticPr fontId="1"/>
  </si>
  <si>
    <r>
      <t>kN/m</t>
    </r>
    <r>
      <rPr>
        <vertAlign val="superscript"/>
        <sz val="10"/>
        <rFont val="ＭＳ 明朝"/>
        <family val="1"/>
        <charset val="128"/>
      </rPr>
      <t>2</t>
    </r>
    <phoneticPr fontId="1"/>
  </si>
  <si>
    <t>表示板の高さ</t>
    <rPh sb="0" eb="3">
      <t>ヒョウジバン</t>
    </rPh>
    <phoneticPr fontId="1"/>
  </si>
  <si>
    <t>表示板下端までの高さ</t>
    <rPh sb="0" eb="3">
      <t>ヒョウジバン</t>
    </rPh>
    <rPh sb="3" eb="5">
      <t>カタン</t>
    </rPh>
    <phoneticPr fontId="1"/>
  </si>
  <si>
    <t>表示板の長さ</t>
    <rPh sb="0" eb="3">
      <t>ヒョウジバン</t>
    </rPh>
    <rPh sb="4" eb="5">
      <t>ナガ</t>
    </rPh>
    <phoneticPr fontId="1"/>
  </si>
  <si>
    <t>表示板中心までの高さ</t>
    <rPh sb="0" eb="3">
      <t>ヒョウジバン</t>
    </rPh>
    <rPh sb="3" eb="5">
      <t>チュウシン</t>
    </rPh>
    <phoneticPr fontId="1"/>
  </si>
  <si>
    <r>
      <t>m</t>
    </r>
    <r>
      <rPr>
        <vertAlign val="superscript"/>
        <sz val="10"/>
        <rFont val="ＭＳ 明朝"/>
        <family val="1"/>
        <charset val="128"/>
      </rPr>
      <t>2</t>
    </r>
    <phoneticPr fontId="1"/>
  </si>
  <si>
    <t>kN</t>
    <phoneticPr fontId="1"/>
  </si>
  <si>
    <t>Y ＝ ｈ5</t>
    <phoneticPr fontId="1"/>
  </si>
  <si>
    <t>m</t>
    <phoneticPr fontId="1"/>
  </si>
  <si>
    <t>風荷重作用位置</t>
    <rPh sb="0" eb="1">
      <t>カゼ</t>
    </rPh>
    <phoneticPr fontId="1"/>
  </si>
  <si>
    <t>設計荷重は風荷重とする。</t>
  </si>
  <si>
    <t>国土交通省中国地方整備局土木工事設計マニュアル</t>
    <rPh sb="0" eb="5">
      <t>コクドコウツウショウ</t>
    </rPh>
    <rPh sb="5" eb="12">
      <t>チュウゴクチホウセイビキョク</t>
    </rPh>
    <rPh sb="12" eb="18">
      <t>ドボクコウジセッケイ</t>
    </rPh>
    <phoneticPr fontId="3"/>
  </si>
  <si>
    <t>R3年版　遮音壁工　風荷重　より</t>
    <rPh sb="2" eb="4">
      <t>ネンバン</t>
    </rPh>
    <rPh sb="5" eb="9">
      <t>シャオンヘキコウ</t>
    </rPh>
    <rPh sb="10" eb="13">
      <t>カゼカジュウ</t>
    </rPh>
    <phoneticPr fontId="3"/>
  </si>
  <si>
    <t>参考：道路橋示方書共通編風荷重</t>
    <rPh sb="0" eb="2">
      <t>サンコウ</t>
    </rPh>
    <rPh sb="3" eb="9">
      <t>ドウロキョウシホウショ</t>
    </rPh>
    <rPh sb="9" eb="12">
      <t>キョウツウヘン</t>
    </rPh>
    <rPh sb="12" eb="15">
      <t>カゼカジュウ</t>
    </rPh>
    <phoneticPr fontId="3"/>
  </si>
  <si>
    <t>参考：道路道路土工擁壁工指針風荷重</t>
    <rPh sb="0" eb="2">
      <t>サンコウ</t>
    </rPh>
    <rPh sb="3" eb="5">
      <t>ドウロ</t>
    </rPh>
    <rPh sb="5" eb="7">
      <t>ドウロ</t>
    </rPh>
    <rPh sb="7" eb="9">
      <t>ドコウ</t>
    </rPh>
    <rPh sb="9" eb="12">
      <t>ヨウヘキコウ</t>
    </rPh>
    <rPh sb="12" eb="14">
      <t>シシン</t>
    </rPh>
    <rPh sb="14" eb="17">
      <t>カゼカジュウ</t>
    </rPh>
    <phoneticPr fontId="3"/>
  </si>
  <si>
    <t>Ud：設計基準風速　40 （ｍ/s）</t>
    <rPh sb="3" eb="5">
      <t>セッケイ</t>
    </rPh>
    <rPh sb="5" eb="7">
      <t>キジュン</t>
    </rPh>
    <rPh sb="7" eb="9">
      <t>フウソク</t>
    </rPh>
    <phoneticPr fontId="3"/>
  </si>
  <si>
    <t>CD：抗力係数　高架橋梁部　1.6</t>
    <rPh sb="3" eb="7">
      <t>コウリョクケイスウ</t>
    </rPh>
    <rPh sb="8" eb="13">
      <t>コウカキョウリョウブ</t>
    </rPh>
    <phoneticPr fontId="3"/>
  </si>
  <si>
    <t xml:space="preserve">              土工部　　　1.2</t>
    <rPh sb="14" eb="17">
      <t>ドコウブ</t>
    </rPh>
    <phoneticPr fontId="3"/>
  </si>
  <si>
    <t>G ：ガスト係数　1.9</t>
    <rPh sb="6" eb="8">
      <t>ケイスウ</t>
    </rPh>
    <phoneticPr fontId="3"/>
  </si>
  <si>
    <r>
      <t>Ｐ：風荷重（風圧力）（ kN/m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2" eb="5">
      <t>カゼカジュウ</t>
    </rPh>
    <rPh sb="6" eb="9">
      <t>フウアツリョク</t>
    </rPh>
    <phoneticPr fontId="3"/>
  </si>
  <si>
    <r>
      <t>ρ：空気密度　0.00123 （kN/m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2" eb="6">
      <t>クウキミツド</t>
    </rPh>
    <phoneticPr fontId="3"/>
  </si>
  <si>
    <r>
      <t xml:space="preserve">Ｐ ＝ 1/2 × 0.00123 × 40 </t>
    </r>
    <r>
      <rPr>
        <vertAlign val="superscript"/>
        <sz val="11"/>
        <rFont val="ＭＳ 明朝"/>
        <family val="1"/>
        <charset val="128"/>
      </rPr>
      <t xml:space="preserve">2 </t>
    </r>
    <r>
      <rPr>
        <sz val="11"/>
        <rFont val="ＭＳ 明朝"/>
        <family val="1"/>
        <charset val="128"/>
      </rPr>
      <t>× 1.2 × 1.9 × 0.8</t>
    </r>
    <phoneticPr fontId="9"/>
  </si>
  <si>
    <t>　ここでは高架部などでは無いものとしCD＝1.2とする。</t>
    <rPh sb="5" eb="8">
      <t>コウカブ</t>
    </rPh>
    <rPh sb="12" eb="13">
      <t>ナ</t>
    </rPh>
    <phoneticPr fontId="9"/>
  </si>
  <si>
    <t>　　　 その他：周辺の状況を考慮して0.8倍に低減</t>
    <rPh sb="6" eb="7">
      <t>タ</t>
    </rPh>
    <rPh sb="8" eb="10">
      <t>シュウヘン</t>
    </rPh>
    <rPh sb="11" eb="13">
      <t>ジョウキョウ</t>
    </rPh>
    <rPh sb="14" eb="16">
      <t>コウリョ</t>
    </rPh>
    <rPh sb="21" eb="22">
      <t>バイ</t>
    </rPh>
    <rPh sb="23" eb="25">
      <t>テイゲン</t>
    </rPh>
    <phoneticPr fontId="3"/>
  </si>
  <si>
    <r>
      <t>表示板が受ける風荷重　　　P ＝ P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 xml:space="preserve"> × A ＝</t>
    </r>
    <phoneticPr fontId="1"/>
  </si>
  <si>
    <t>ここでα・β・δが0の場合</t>
    <rPh sb="11" eb="13">
      <t>バアイ</t>
    </rPh>
    <phoneticPr fontId="9"/>
  </si>
  <si>
    <t>の場合</t>
    <rPh sb="1" eb="3">
      <t>バアイ</t>
    </rPh>
    <phoneticPr fontId="9"/>
  </si>
  <si>
    <t>γ＝</t>
    <phoneticPr fontId="9"/>
  </si>
  <si>
    <t>（盛土：砂質土）</t>
    <rPh sb="1" eb="3">
      <t>モリド</t>
    </rPh>
    <rPh sb="4" eb="7">
      <t>サシツド</t>
    </rPh>
    <phoneticPr fontId="9"/>
  </si>
  <si>
    <t>＝</t>
    <phoneticPr fontId="9"/>
  </si>
  <si>
    <t>kN/m</t>
    <phoneticPr fontId="9"/>
  </si>
  <si>
    <t>kN</t>
    <phoneticPr fontId="9"/>
  </si>
  <si>
    <t>名称</t>
    <rPh sb="0" eb="2">
      <t>メイショウ</t>
    </rPh>
    <phoneticPr fontId="9"/>
  </si>
  <si>
    <t>荷重</t>
    <rPh sb="0" eb="2">
      <t>カジュウ</t>
    </rPh>
    <phoneticPr fontId="9"/>
  </si>
  <si>
    <t>重心位置</t>
    <rPh sb="0" eb="4">
      <t>ジュウシンイチ</t>
    </rPh>
    <phoneticPr fontId="9"/>
  </si>
  <si>
    <t>抵抗モーメント</t>
    <rPh sb="0" eb="2">
      <t>テイコウ</t>
    </rPh>
    <phoneticPr fontId="9"/>
  </si>
  <si>
    <t>摘要</t>
    <rPh sb="0" eb="2">
      <t>テキヨウ</t>
    </rPh>
    <phoneticPr fontId="9"/>
  </si>
  <si>
    <t>基礎の自重</t>
    <rPh sb="0" eb="2">
      <t>キソ</t>
    </rPh>
    <rPh sb="3" eb="5">
      <t>ジジュウ</t>
    </rPh>
    <phoneticPr fontId="9"/>
  </si>
  <si>
    <t>受動土圧</t>
    <rPh sb="0" eb="4">
      <t>ジュドウドアツ</t>
    </rPh>
    <phoneticPr fontId="9"/>
  </si>
  <si>
    <t>計</t>
    <rPh sb="0" eb="1">
      <t>ケイ</t>
    </rPh>
    <phoneticPr fontId="9"/>
  </si>
  <si>
    <t>※　重心位置は基礎底面端から各部位の重心までの距離</t>
    <rPh sb="2" eb="6">
      <t>ジュウシンイチ</t>
    </rPh>
    <rPh sb="7" eb="11">
      <t>キソテイメン</t>
    </rPh>
    <rPh sb="11" eb="12">
      <t>ハシ</t>
    </rPh>
    <rPh sb="14" eb="17">
      <t>カクブイ</t>
    </rPh>
    <rPh sb="18" eb="20">
      <t>ジュウシン</t>
    </rPh>
    <rPh sb="23" eb="25">
      <t>キョリ</t>
    </rPh>
    <phoneticPr fontId="9"/>
  </si>
  <si>
    <t>抵抗モーメントＭr＝</t>
    <rPh sb="0" eb="2">
      <t>テイコウ</t>
    </rPh>
    <phoneticPr fontId="9"/>
  </si>
  <si>
    <t>kN・m</t>
    <phoneticPr fontId="9"/>
  </si>
  <si>
    <t>　　Ｍ1＝</t>
    <phoneticPr fontId="9"/>
  </si>
  <si>
    <t>ｘ1＝</t>
  </si>
  <si>
    <t>m</t>
    <phoneticPr fontId="9"/>
  </si>
  <si>
    <t>※　道路土工</t>
    <rPh sb="2" eb="6">
      <t>ドウロドコウ</t>
    </rPh>
    <phoneticPr fontId="9"/>
  </si>
  <si>
    <t>擁壁工指針　</t>
    <rPh sb="0" eb="5">
      <t>ヨウヘキコウシシン</t>
    </rPh>
    <phoneticPr fontId="9"/>
  </si>
  <si>
    <t>5-2-4（4）　</t>
    <phoneticPr fontId="9"/>
  </si>
  <si>
    <r>
      <t>tan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(45+φ/2）</t>
    </r>
    <phoneticPr fontId="9"/>
  </si>
  <si>
    <r>
      <t>Ｋ</t>
    </r>
    <r>
      <rPr>
        <vertAlign val="subscript"/>
        <sz val="10"/>
        <rFont val="ＭＳ 明朝"/>
        <family val="1"/>
        <charset val="128"/>
      </rPr>
      <t>P</t>
    </r>
    <r>
      <rPr>
        <sz val="10"/>
        <rFont val="ＭＳ 明朝"/>
        <family val="1"/>
        <charset val="128"/>
      </rPr>
      <t>＝</t>
    </r>
    <phoneticPr fontId="9"/>
  </si>
  <si>
    <t>φ ＝</t>
    <phoneticPr fontId="9"/>
  </si>
  <si>
    <t>wf ＝</t>
    <phoneticPr fontId="1"/>
  </si>
  <si>
    <r>
      <t>Ｐ</t>
    </r>
    <r>
      <rPr>
        <vertAlign val="subscript"/>
        <sz val="10"/>
        <rFont val="ＭＳ 明朝"/>
        <family val="1"/>
        <charset val="128"/>
      </rPr>
      <t>P</t>
    </r>
    <r>
      <rPr>
        <sz val="10"/>
        <rFont val="ＭＳ 明朝"/>
        <family val="1"/>
        <charset val="128"/>
      </rPr>
      <t>＝</t>
    </r>
    <phoneticPr fontId="9"/>
  </si>
  <si>
    <r>
      <t>Ｐ</t>
    </r>
    <r>
      <rPr>
        <vertAlign val="subscript"/>
        <sz val="10"/>
        <rFont val="ＭＳ 明朝"/>
        <family val="1"/>
        <charset val="128"/>
      </rPr>
      <t>f</t>
    </r>
    <r>
      <rPr>
        <sz val="10"/>
        <rFont val="ＭＳ 明朝"/>
        <family val="1"/>
        <charset val="128"/>
      </rPr>
      <t>＝</t>
    </r>
    <phoneticPr fontId="9"/>
  </si>
  <si>
    <t>本体の自重</t>
    <rPh sb="0" eb="2">
      <t>ホンタイ</t>
    </rPh>
    <rPh sb="3" eb="5">
      <t>ジジュウ</t>
    </rPh>
    <phoneticPr fontId="1"/>
  </si>
  <si>
    <t>wd ＝</t>
    <phoneticPr fontId="1"/>
  </si>
  <si>
    <t>kg</t>
    <phoneticPr fontId="1"/>
  </si>
  <si>
    <t>B =</t>
    <phoneticPr fontId="1"/>
  </si>
  <si>
    <t>　基礎の自重</t>
    <rPh sb="1" eb="3">
      <t>キソ</t>
    </rPh>
    <rPh sb="4" eb="6">
      <t>ジジュウ</t>
    </rPh>
    <phoneticPr fontId="1"/>
  </si>
  <si>
    <t>　本体の自重</t>
    <rPh sb="1" eb="3">
      <t>ホンタイ</t>
    </rPh>
    <rPh sb="4" eb="6">
      <t>ジジュウ</t>
    </rPh>
    <phoneticPr fontId="1"/>
  </si>
  <si>
    <r>
      <t>kN/m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とすると</t>
    </r>
    <phoneticPr fontId="9"/>
  </si>
  <si>
    <t>転倒モーメント（風荷重）</t>
    <rPh sb="8" eb="11">
      <t>カゼカジュウ</t>
    </rPh>
    <phoneticPr fontId="1"/>
  </si>
  <si>
    <r>
      <t>1/2 × Ｋ</t>
    </r>
    <r>
      <rPr>
        <vertAlign val="subscript"/>
        <sz val="10"/>
        <rFont val="ＭＳ 明朝"/>
        <family val="1"/>
        <charset val="128"/>
      </rPr>
      <t>P</t>
    </r>
    <r>
      <rPr>
        <sz val="10"/>
        <rFont val="ＭＳ 明朝"/>
        <family val="1"/>
        <charset val="128"/>
      </rPr>
      <t xml:space="preserve"> × γ ×（ H2＋h3 ）×h4</t>
    </r>
    <phoneticPr fontId="9"/>
  </si>
  <si>
    <t>H2＝</t>
    <phoneticPr fontId="9"/>
  </si>
  <si>
    <r>
      <t>P＝1/2・ρ・Ud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 xml:space="preserve">・CD・G・0.8 </t>
    </r>
    <phoneticPr fontId="1"/>
  </si>
  <si>
    <t>転倒にたいする安定</t>
    <phoneticPr fontId="9"/>
  </si>
  <si>
    <t xml:space="preserve"> 基礎の自重</t>
    <rPh sb="1" eb="3">
      <t>キソ</t>
    </rPh>
    <rPh sb="4" eb="6">
      <t>ジジュウ</t>
    </rPh>
    <phoneticPr fontId="1"/>
  </si>
  <si>
    <t xml:space="preserve"> 受動土圧</t>
    <rPh sb="1" eb="5">
      <t>ジュドウドアツ</t>
    </rPh>
    <phoneticPr fontId="9"/>
  </si>
  <si>
    <t xml:space="preserve"> 基礎幅（L）当たりの受動土圧</t>
    <rPh sb="1" eb="4">
      <t>キソハバ</t>
    </rPh>
    <rPh sb="7" eb="8">
      <t>ア</t>
    </rPh>
    <rPh sb="11" eb="15">
      <t>ジュドウドアツ</t>
    </rPh>
    <phoneticPr fontId="9"/>
  </si>
  <si>
    <t xml:space="preserve"> 抵抗モーメント（kN・m 基礎幅当たり）</t>
    <rPh sb="1" eb="3">
      <t>テイコウ</t>
    </rPh>
    <rPh sb="14" eb="17">
      <t>キソハバ</t>
    </rPh>
    <rPh sb="17" eb="18">
      <t>ア</t>
    </rPh>
    <phoneticPr fontId="9"/>
  </si>
  <si>
    <t xml:space="preserve"> 合力の作用位置</t>
    <phoneticPr fontId="9"/>
  </si>
  <si>
    <t>地盤支持にたいする安定</t>
    <rPh sb="0" eb="4">
      <t>ジバンシジ</t>
    </rPh>
    <phoneticPr fontId="9"/>
  </si>
  <si>
    <t>　　ｑ＝</t>
    <phoneticPr fontId="9"/>
  </si>
  <si>
    <t>Ｍ1 ／Ｖ</t>
    <phoneticPr fontId="1"/>
  </si>
  <si>
    <t>ｑ：</t>
    <phoneticPr fontId="1"/>
  </si>
  <si>
    <t>ｅ：</t>
    <phoneticPr fontId="1"/>
  </si>
  <si>
    <r>
      <t>地盤反力度（kN/m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5">
      <t>ジバンハンリョクド</t>
    </rPh>
    <phoneticPr fontId="1"/>
  </si>
  <si>
    <t>基礎幅の中心から合力の作用位置までの距離(m)</t>
    <rPh sb="0" eb="3">
      <t>キソハバ</t>
    </rPh>
    <rPh sb="4" eb="6">
      <t>チュウシン</t>
    </rPh>
    <rPh sb="8" eb="10">
      <t>ゴウリョク</t>
    </rPh>
    <rPh sb="11" eb="15">
      <t>サヨウイチ</t>
    </rPh>
    <rPh sb="18" eb="20">
      <t>キョリ</t>
    </rPh>
    <phoneticPr fontId="1"/>
  </si>
  <si>
    <t>e＝</t>
    <phoneticPr fontId="1"/>
  </si>
  <si>
    <t>m</t>
    <phoneticPr fontId="1"/>
  </si>
  <si>
    <t>＝</t>
    <phoneticPr fontId="1"/>
  </si>
  <si>
    <t>：Ｂ/3＜ｘ1 &lt;2 ×B / 3　の場合</t>
    <rPh sb="19" eb="21">
      <t>バアイ</t>
    </rPh>
    <phoneticPr fontId="1"/>
  </si>
  <si>
    <t>：Ｂ/6＜ｘ1 &lt;B / 3　の場合</t>
    <rPh sb="16" eb="18">
      <t>バアイ</t>
    </rPh>
    <phoneticPr fontId="1"/>
  </si>
  <si>
    <t>B/3=</t>
    <phoneticPr fontId="1"/>
  </si>
  <si>
    <t>B/6=</t>
    <phoneticPr fontId="1"/>
  </si>
  <si>
    <t>Ｂ/3＜ｘ1 &lt;2 ×B / 3　の場合</t>
    <rPh sb="18" eb="20">
      <t>バアイ</t>
    </rPh>
    <phoneticPr fontId="1"/>
  </si>
  <si>
    <t>Ｂ/6＜ｘ1 &lt;B / 3　の場合</t>
    <rPh sb="15" eb="17">
      <t>バアイ</t>
    </rPh>
    <phoneticPr fontId="1"/>
  </si>
  <si>
    <t>X1=</t>
    <phoneticPr fontId="1"/>
  </si>
  <si>
    <t>＝</t>
    <phoneticPr fontId="1"/>
  </si>
  <si>
    <t>ｑ1 ＝</t>
    <phoneticPr fontId="1"/>
  </si>
  <si>
    <t>ｑ2 ＝</t>
    <phoneticPr fontId="1"/>
  </si>
  <si>
    <t>ｑ ＝</t>
    <phoneticPr fontId="1"/>
  </si>
  <si>
    <r>
      <t>Ｖ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／Ｂ×｛1±（6×ｅ）／Ｂ｝</t>
    </r>
    <phoneticPr fontId="1"/>
  </si>
  <si>
    <r>
      <t>（2×Ｖ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）／（3×ｘ1）</t>
    </r>
    <phoneticPr fontId="1"/>
  </si>
  <si>
    <r>
      <t>V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：</t>
    </r>
    <phoneticPr fontId="1"/>
  </si>
  <si>
    <t>基礎延長1.0m当りの鉛直荷重</t>
    <rPh sb="0" eb="4">
      <t>キソエンチョウ</t>
    </rPh>
    <rPh sb="8" eb="9">
      <t>アタ</t>
    </rPh>
    <rPh sb="11" eb="15">
      <t>エンチョクカジュウ</t>
    </rPh>
    <phoneticPr fontId="1"/>
  </si>
  <si>
    <r>
      <t>V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 xml:space="preserve"> ＝</t>
    </r>
    <phoneticPr fontId="1"/>
  </si>
  <si>
    <r>
      <t>Ｖ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／Ｂ×｛1＋（6×ｅ）／Ｂ ｝</t>
    </r>
    <phoneticPr fontId="1"/>
  </si>
  <si>
    <r>
      <t>Ｖ</t>
    </r>
    <r>
      <rPr>
        <vertAlign val="subscript"/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／Ｂ×｛1－（6×ｅ）／Ｂ ｝</t>
    </r>
    <phoneticPr fontId="1"/>
  </si>
  <si>
    <t>kN/m</t>
    <phoneticPr fontId="1"/>
  </si>
  <si>
    <t>qmax=</t>
    <phoneticPr fontId="1"/>
  </si>
  <si>
    <t>（砂質地盤）</t>
    <rPh sb="1" eb="5">
      <t>サシツジバン</t>
    </rPh>
    <phoneticPr fontId="1"/>
  </si>
  <si>
    <r>
      <t>kN/m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 xml:space="preserve"> </t>
    </r>
    <phoneticPr fontId="1"/>
  </si>
  <si>
    <t>　　最大地盤反力度 ｑmax＝</t>
    <rPh sb="2" eb="9">
      <t>サイダイジバンハンリョクド</t>
    </rPh>
    <phoneticPr fontId="1"/>
  </si>
  <si>
    <t>＜ 許容地盤反力度　ｑa＝</t>
    <rPh sb="2" eb="9">
      <t>キョヨウジバンハンリョクド</t>
    </rPh>
    <phoneticPr fontId="1"/>
  </si>
  <si>
    <r>
      <t>kN/m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OK ！</t>
    </r>
    <phoneticPr fontId="1"/>
  </si>
  <si>
    <t>青色文字の部分は入力部分です。</t>
    <rPh sb="0" eb="4">
      <t>アオイロモジ</t>
    </rPh>
    <rPh sb="5" eb="7">
      <t>ブブン</t>
    </rPh>
    <rPh sb="8" eb="10">
      <t>ニュウリョク</t>
    </rPh>
    <rPh sb="10" eb="12">
      <t>ブブン</t>
    </rPh>
    <phoneticPr fontId="1"/>
  </si>
  <si>
    <t>＝</t>
    <phoneticPr fontId="1"/>
  </si>
  <si>
    <t>印刷時は非該当式（赤色斜線の部分）を手動で非表示にします</t>
    <rPh sb="0" eb="3">
      <t>インサツジ</t>
    </rPh>
    <rPh sb="4" eb="8">
      <t>ヒガイトウシキ</t>
    </rPh>
    <rPh sb="9" eb="13">
      <t>アカイロシャセン</t>
    </rPh>
    <rPh sb="14" eb="16">
      <t>ブブン</t>
    </rPh>
    <rPh sb="18" eb="20">
      <t>シュドウ</t>
    </rPh>
    <rPh sb="21" eb="24">
      <t>ヒヒョウジ</t>
    </rPh>
    <phoneticPr fontId="1"/>
  </si>
  <si>
    <t>編集にはシートの保護解除が必要HB</t>
    <rPh sb="0" eb="2">
      <t>ヘンシュウ</t>
    </rPh>
    <rPh sb="8" eb="10">
      <t>ホゴ</t>
    </rPh>
    <rPh sb="10" eb="12">
      <t>カイジョ</t>
    </rPh>
    <rPh sb="13" eb="15">
      <t>ヒツヨウ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</si>
</sst>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&quot; ×&quot;"/>
    <numFmt numFmtId="177" formatCode="0.00&quot; ×&quot;"/>
    <numFmt numFmtId="178" formatCode="0.00&quot; ／&quot;"/>
    <numFmt numFmtId="179" formatCode="0.00&quot; ｝&quot;"/>
    <numFmt numFmtId="180" formatCode="0.000_ "/>
    <numFmt numFmtId="181" formatCode="0.000&quot; －&quot;"/>
    <numFmt numFmtId="182" formatCode="&quot;L= &quot;0.00"/>
    <numFmt numFmtId="183" formatCode="#,##0.0_ "/>
    <numFmt numFmtId="184" formatCode="&quot;＝ &quot;0.00_ "/>
    <numFmt numFmtId="185" formatCode="0.00_ "/>
    <numFmt numFmtId="186" formatCode="0.0_ "/>
    <numFmt numFmtId="187" formatCode="0&quot; °&quot;"/>
    <numFmt numFmtId="188" formatCode="0_ "/>
    <numFmt numFmtId="189" formatCode="#,##0.00_ "/>
    <numFmt numFmtId="190" formatCode="&quot;＝ &quot;0.000_ "/>
  </numFmts>
  <fonts count="1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rgb="FF0066FF"/>
      <name val="ＭＳ 明朝"/>
      <family val="1"/>
      <charset val="128"/>
    </font>
    <font>
      <i/>
      <sz val="10"/>
      <name val="ＭＳ 明朝"/>
      <family val="1"/>
      <charset val="128"/>
    </font>
    <font>
      <sz val="10"/>
      <color rgb="FF008000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6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color rgb="FF3366FF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i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182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4" fontId="2" fillId="0" borderId="0" xfId="0" applyNumberFormat="1" applyFont="1" applyAlignment="1">
      <alignment vertical="center"/>
    </xf>
    <xf numFmtId="185" fontId="2" fillId="0" borderId="0" xfId="0" applyNumberFormat="1" applyFont="1" applyAlignment="1">
      <alignment horizontal="center" vertical="center"/>
    </xf>
    <xf numFmtId="185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86" fontId="2" fillId="0" borderId="0" xfId="0" applyNumberFormat="1" applyFont="1" applyAlignment="1">
      <alignment horizontal="center" vertical="center"/>
    </xf>
    <xf numFmtId="186" fontId="2" fillId="0" borderId="0" xfId="0" applyNumberFormat="1" applyFont="1" applyAlignment="1">
      <alignment horizontal="left" vertical="center"/>
    </xf>
    <xf numFmtId="186" fontId="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left" vertical="center"/>
    </xf>
    <xf numFmtId="18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185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0" fontId="2" fillId="0" borderId="0" xfId="0" applyNumberFormat="1" applyFont="1" applyAlignment="1">
      <alignment horizontal="right" vertical="center"/>
    </xf>
    <xf numFmtId="181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189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90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85" fontId="2" fillId="0" borderId="0" xfId="0" applyNumberFormat="1" applyFont="1" applyAlignment="1">
      <alignment vertical="center"/>
    </xf>
    <xf numFmtId="2" fontId="3" fillId="2" borderId="0" xfId="0" applyNumberFormat="1" applyFont="1" applyFill="1" applyAlignment="1" applyProtection="1">
      <alignment vertical="center"/>
      <protection locked="0"/>
    </xf>
    <xf numFmtId="183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87" fontId="11" fillId="0" borderId="0" xfId="0" applyNumberFormat="1" applyFont="1" applyAlignment="1" applyProtection="1">
      <alignment horizontal="center" vertical="center"/>
      <protection locked="0"/>
    </xf>
    <xf numFmtId="188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88" fontId="5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ont>
        <strike/>
        <color rgb="FFFF0000"/>
      </font>
      <fill>
        <patternFill patternType="lightUp">
          <fgColor rgb="FFFF0000"/>
        </patternFill>
      </fill>
    </dxf>
    <dxf>
      <font>
        <strike/>
        <color rgb="FFFF0000"/>
      </font>
      <fill>
        <patternFill patternType="lightUp">
          <f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008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21</xdr:row>
      <xdr:rowOff>84095</xdr:rowOff>
    </xdr:from>
    <xdr:to>
      <xdr:col>9</xdr:col>
      <xdr:colOff>76200</xdr:colOff>
      <xdr:row>51</xdr:row>
      <xdr:rowOff>23598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CD3BE45-1300-7D1E-4E7E-E9DA9FD82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654" t="-230" r="25390" b="230"/>
        <a:stretch/>
      </xdr:blipFill>
      <xdr:spPr>
        <a:xfrm>
          <a:off x="1304925" y="3684545"/>
          <a:ext cx="5400675" cy="5083003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92</xdr:row>
      <xdr:rowOff>57150</xdr:rowOff>
    </xdr:from>
    <xdr:to>
      <xdr:col>7</xdr:col>
      <xdr:colOff>485244</xdr:colOff>
      <xdr:row>109</xdr:row>
      <xdr:rowOff>151999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B467360-C6DF-4C6A-9892-3459BF4B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15830550"/>
          <a:ext cx="4247619" cy="30094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219075</xdr:colOff>
      <xdr:row>118</xdr:row>
      <xdr:rowOff>66675</xdr:rowOff>
    </xdr:from>
    <xdr:to>
      <xdr:col>3</xdr:col>
      <xdr:colOff>390525</xdr:colOff>
      <xdr:row>119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A27D8A7-5A76-4F35-A86A-E0C43C221AD2}"/>
            </a:ext>
          </a:extLst>
        </xdr:cNvPr>
        <xdr:cNvSpPr txBox="1"/>
      </xdr:nvSpPr>
      <xdr:spPr>
        <a:xfrm>
          <a:off x="2390775" y="19611975"/>
          <a:ext cx="1714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2</a:t>
          </a:r>
          <a:endParaRPr kumimoji="1" lang="ja-JP" altLang="en-US" sz="900"/>
        </a:p>
      </xdr:txBody>
    </xdr:sp>
    <xdr:clientData/>
  </xdr:twoCellAnchor>
  <xdr:twoCellAnchor editAs="oneCell">
    <xdr:from>
      <xdr:col>7</xdr:col>
      <xdr:colOff>523876</xdr:colOff>
      <xdr:row>85</xdr:row>
      <xdr:rowOff>161925</xdr:rowOff>
    </xdr:from>
    <xdr:to>
      <xdr:col>9</xdr:col>
      <xdr:colOff>684538</xdr:colOff>
      <xdr:row>110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84330F-C5A8-FDB4-022D-152F22748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603" t="2902" r="41681" b="1850"/>
        <a:stretch/>
      </xdr:blipFill>
      <xdr:spPr>
        <a:xfrm>
          <a:off x="5667376" y="14735175"/>
          <a:ext cx="1646562" cy="41624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113</xdr:row>
      <xdr:rowOff>38100</xdr:rowOff>
    </xdr:from>
    <xdr:to>
      <xdr:col>9</xdr:col>
      <xdr:colOff>690867</xdr:colOff>
      <xdr:row>122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5515C7-B545-F160-D51E-3FD64C29B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576" t="2537" r="16496" b="-1"/>
        <a:stretch/>
      </xdr:blipFill>
      <xdr:spPr>
        <a:xfrm>
          <a:off x="4972051" y="19411950"/>
          <a:ext cx="2348216" cy="1657350"/>
        </a:xfrm>
        <a:prstGeom prst="rect">
          <a:avLst/>
        </a:prstGeom>
      </xdr:spPr>
    </xdr:pic>
    <xdr:clientData/>
  </xdr:twoCellAnchor>
  <xdr:twoCellAnchor editAs="oneCell">
    <xdr:from>
      <xdr:col>7</xdr:col>
      <xdr:colOff>400613</xdr:colOff>
      <xdr:row>146</xdr:row>
      <xdr:rowOff>123825</xdr:rowOff>
    </xdr:from>
    <xdr:to>
      <xdr:col>9</xdr:col>
      <xdr:colOff>47624</xdr:colOff>
      <xdr:row>160</xdr:row>
      <xdr:rowOff>114301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EC7DC3-6188-1619-4B75-A9FDF824E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0380" t="6735" r="49466" b="2807"/>
        <a:stretch/>
      </xdr:blipFill>
      <xdr:spPr>
        <a:xfrm>
          <a:off x="5544113" y="25155525"/>
          <a:ext cx="1132911" cy="2390776"/>
        </a:xfrm>
        <a:prstGeom prst="rect">
          <a:avLst/>
        </a:prstGeom>
      </xdr:spPr>
    </xdr:pic>
    <xdr:clientData/>
  </xdr:twoCellAnchor>
  <xdr:twoCellAnchor>
    <xdr:from>
      <xdr:col>5</xdr:col>
      <xdr:colOff>409576</xdr:colOff>
      <xdr:row>21</xdr:row>
      <xdr:rowOff>28575</xdr:rowOff>
    </xdr:from>
    <xdr:to>
      <xdr:col>5</xdr:col>
      <xdr:colOff>695325</xdr:colOff>
      <xdr:row>22</xdr:row>
      <xdr:rowOff>95250</xdr:rowOff>
    </xdr:to>
    <xdr:sp macro="" textlink="$L$24">
      <xdr:nvSpPr>
        <xdr:cNvPr id="8" name="テキスト ボックス 7">
          <a:extLst>
            <a:ext uri="{FF2B5EF4-FFF2-40B4-BE49-F238E27FC236}">
              <a16:creationId xmlns:a16="http://schemas.microsoft.com/office/drawing/2014/main" id="{8D5D8305-C0C1-5DDC-BB97-4AE40CBBA5C2}"/>
            </a:ext>
          </a:extLst>
        </xdr:cNvPr>
        <xdr:cNvSpPr txBox="1"/>
      </xdr:nvSpPr>
      <xdr:spPr>
        <a:xfrm>
          <a:off x="4067176" y="3629025"/>
          <a:ext cx="285749" cy="2381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3026E9C-2A30-41F0-A6C2-92337E9838E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L1=0.60 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21</xdr:row>
      <xdr:rowOff>19050</xdr:rowOff>
    </xdr:from>
    <xdr:to>
      <xdr:col>7</xdr:col>
      <xdr:colOff>314325</xdr:colOff>
      <xdr:row>22</xdr:row>
      <xdr:rowOff>85725</xdr:rowOff>
    </xdr:to>
    <xdr:sp macro="" textlink="$L$24">
      <xdr:nvSpPr>
        <xdr:cNvPr id="10" name="テキスト ボックス 9">
          <a:extLst>
            <a:ext uri="{FF2B5EF4-FFF2-40B4-BE49-F238E27FC236}">
              <a16:creationId xmlns:a16="http://schemas.microsoft.com/office/drawing/2014/main" id="{6E928F48-506C-ED61-BF9D-88A03CA1CC01}"/>
            </a:ext>
          </a:extLst>
        </xdr:cNvPr>
        <xdr:cNvSpPr txBox="1"/>
      </xdr:nvSpPr>
      <xdr:spPr>
        <a:xfrm>
          <a:off x="5172076" y="3619500"/>
          <a:ext cx="285749" cy="2381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3026E9C-2A30-41F0-A6C2-92337E9838E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L1=0.60 m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401412</xdr:colOff>
      <xdr:row>49</xdr:row>
      <xdr:rowOff>27214</xdr:rowOff>
    </xdr:from>
    <xdr:to>
      <xdr:col>5</xdr:col>
      <xdr:colOff>687161</xdr:colOff>
      <xdr:row>50</xdr:row>
      <xdr:rowOff>24493</xdr:rowOff>
    </xdr:to>
    <xdr:sp macro="" textlink="$L$24">
      <xdr:nvSpPr>
        <xdr:cNvPr id="11" name="テキスト ボックス 10">
          <a:extLst>
            <a:ext uri="{FF2B5EF4-FFF2-40B4-BE49-F238E27FC236}">
              <a16:creationId xmlns:a16="http://schemas.microsoft.com/office/drawing/2014/main" id="{AA14423D-F6A3-4172-C5FF-7B0170D152F5}"/>
            </a:ext>
          </a:extLst>
        </xdr:cNvPr>
        <xdr:cNvSpPr txBox="1"/>
      </xdr:nvSpPr>
      <xdr:spPr>
        <a:xfrm>
          <a:off x="4054930" y="8361589"/>
          <a:ext cx="285749" cy="16736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3026E9C-2A30-41F0-A6C2-92337E9838E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L1=0.60 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20413</xdr:colOff>
      <xdr:row>49</xdr:row>
      <xdr:rowOff>13607</xdr:rowOff>
    </xdr:from>
    <xdr:to>
      <xdr:col>7</xdr:col>
      <xdr:colOff>306162</xdr:colOff>
      <xdr:row>50</xdr:row>
      <xdr:rowOff>10886</xdr:rowOff>
    </xdr:to>
    <xdr:sp macro="" textlink="$L$24">
      <xdr:nvSpPr>
        <xdr:cNvPr id="12" name="テキスト ボックス 11">
          <a:extLst>
            <a:ext uri="{FF2B5EF4-FFF2-40B4-BE49-F238E27FC236}">
              <a16:creationId xmlns:a16="http://schemas.microsoft.com/office/drawing/2014/main" id="{5C4A303E-7DFB-D831-AD45-F01571069201}"/>
            </a:ext>
          </a:extLst>
        </xdr:cNvPr>
        <xdr:cNvSpPr txBox="1"/>
      </xdr:nvSpPr>
      <xdr:spPr>
        <a:xfrm>
          <a:off x="5157109" y="8347982"/>
          <a:ext cx="285749" cy="16736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3026E9C-2A30-41F0-A6C2-92337E9838E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L1=0.60 m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604160</xdr:colOff>
      <xdr:row>25</xdr:row>
      <xdr:rowOff>4083</xdr:rowOff>
    </xdr:from>
    <xdr:to>
      <xdr:col>4</xdr:col>
      <xdr:colOff>99334</xdr:colOff>
      <xdr:row>26</xdr:row>
      <xdr:rowOff>119743</xdr:rowOff>
    </xdr:to>
    <xdr:sp macro="" textlink="$L$24">
      <xdr:nvSpPr>
        <xdr:cNvPr id="13" name="テキスト ボックス 12">
          <a:extLst>
            <a:ext uri="{FF2B5EF4-FFF2-40B4-BE49-F238E27FC236}">
              <a16:creationId xmlns:a16="http://schemas.microsoft.com/office/drawing/2014/main" id="{741D07F6-DDBB-7BE3-187D-B712BFE9505C}"/>
            </a:ext>
          </a:extLst>
        </xdr:cNvPr>
        <xdr:cNvSpPr txBox="1"/>
      </xdr:nvSpPr>
      <xdr:spPr>
        <a:xfrm rot="16200000">
          <a:off x="2750006" y="4280808"/>
          <a:ext cx="285749" cy="2367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3026E9C-2A30-41F0-A6C2-92337E9838E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L1=0.60 m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144237</xdr:colOff>
      <xdr:row>27</xdr:row>
      <xdr:rowOff>151039</xdr:rowOff>
    </xdr:from>
    <xdr:to>
      <xdr:col>3</xdr:col>
      <xdr:colOff>429986</xdr:colOff>
      <xdr:row>29</xdr:row>
      <xdr:rowOff>47625</xdr:rowOff>
    </xdr:to>
    <xdr:sp macro="" textlink="$L$25">
      <xdr:nvSpPr>
        <xdr:cNvPr id="14" name="テキスト ボックス 13">
          <a:extLst>
            <a:ext uri="{FF2B5EF4-FFF2-40B4-BE49-F238E27FC236}">
              <a16:creationId xmlns:a16="http://schemas.microsoft.com/office/drawing/2014/main" id="{F84C9F93-B52D-108D-68D6-61B7E7388238}"/>
            </a:ext>
          </a:extLst>
        </xdr:cNvPr>
        <xdr:cNvSpPr txBox="1"/>
      </xdr:nvSpPr>
      <xdr:spPr>
        <a:xfrm>
          <a:off x="2314576" y="4743450"/>
          <a:ext cx="285749" cy="2367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EB325DF-5BC8-4E11-BC38-16E64E50DBFF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B=0.50 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495303</xdr:colOff>
      <xdr:row>25</xdr:row>
      <xdr:rowOff>4082</xdr:rowOff>
    </xdr:from>
    <xdr:to>
      <xdr:col>7</xdr:col>
      <xdr:colOff>732067</xdr:colOff>
      <xdr:row>26</xdr:row>
      <xdr:rowOff>119742</xdr:rowOff>
    </xdr:to>
    <xdr:sp macro="" textlink="$L$25">
      <xdr:nvSpPr>
        <xdr:cNvPr id="15" name="テキスト ボックス 14">
          <a:extLst>
            <a:ext uri="{FF2B5EF4-FFF2-40B4-BE49-F238E27FC236}">
              <a16:creationId xmlns:a16="http://schemas.microsoft.com/office/drawing/2014/main" id="{B9871DEB-3A1C-8B3B-F3D9-A933E62C060E}"/>
            </a:ext>
          </a:extLst>
        </xdr:cNvPr>
        <xdr:cNvSpPr txBox="1"/>
      </xdr:nvSpPr>
      <xdr:spPr>
        <a:xfrm rot="16200000">
          <a:off x="5607506" y="4280807"/>
          <a:ext cx="285749" cy="2367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EB325DF-5BC8-4E11-BC38-16E64E50DBFF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B=0.50 m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164648</xdr:colOff>
      <xdr:row>49</xdr:row>
      <xdr:rowOff>40821</xdr:rowOff>
    </xdr:from>
    <xdr:to>
      <xdr:col>3</xdr:col>
      <xdr:colOff>450397</xdr:colOff>
      <xdr:row>50</xdr:row>
      <xdr:rowOff>13606</xdr:rowOff>
    </xdr:to>
    <xdr:sp macro="" textlink="$L$25">
      <xdr:nvSpPr>
        <xdr:cNvPr id="16" name="テキスト ボックス 15">
          <a:extLst>
            <a:ext uri="{FF2B5EF4-FFF2-40B4-BE49-F238E27FC236}">
              <a16:creationId xmlns:a16="http://schemas.microsoft.com/office/drawing/2014/main" id="{2701DFA1-19AB-7F0B-C018-01F1DA2AB3D2}"/>
            </a:ext>
          </a:extLst>
        </xdr:cNvPr>
        <xdr:cNvSpPr txBox="1"/>
      </xdr:nvSpPr>
      <xdr:spPr>
        <a:xfrm>
          <a:off x="2334987" y="8375196"/>
          <a:ext cx="285749" cy="14287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EB325DF-5BC8-4E11-BC38-16E64E50DBFF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B=0.50 m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178254</xdr:colOff>
      <xdr:row>27</xdr:row>
      <xdr:rowOff>161925</xdr:rowOff>
    </xdr:from>
    <xdr:to>
      <xdr:col>6</xdr:col>
      <xdr:colOff>464003</xdr:colOff>
      <xdr:row>29</xdr:row>
      <xdr:rowOff>58511</xdr:rowOff>
    </xdr:to>
    <xdr:sp macro="" textlink="$L$26">
      <xdr:nvSpPr>
        <xdr:cNvPr id="17" name="テキスト ボックス 16">
          <a:extLst>
            <a:ext uri="{FF2B5EF4-FFF2-40B4-BE49-F238E27FC236}">
              <a16:creationId xmlns:a16="http://schemas.microsoft.com/office/drawing/2014/main" id="{8773164F-2AA6-28DF-2C6D-FCB9A2F46200}"/>
            </a:ext>
          </a:extLst>
        </xdr:cNvPr>
        <xdr:cNvSpPr txBox="1"/>
      </xdr:nvSpPr>
      <xdr:spPr>
        <a:xfrm>
          <a:off x="4573361" y="4754336"/>
          <a:ext cx="285749" cy="2367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D1371667-77E7-42B5-8D70-DB67E0BE7243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W=1.20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455842</xdr:colOff>
      <xdr:row>38</xdr:row>
      <xdr:rowOff>140153</xdr:rowOff>
    </xdr:from>
    <xdr:to>
      <xdr:col>8</xdr:col>
      <xdr:colOff>630015</xdr:colOff>
      <xdr:row>40</xdr:row>
      <xdr:rowOff>85724</xdr:rowOff>
    </xdr:to>
    <xdr:sp macro="" textlink="$L$27">
      <xdr:nvSpPr>
        <xdr:cNvPr id="18" name="テキスト ボックス 17">
          <a:extLst>
            <a:ext uri="{FF2B5EF4-FFF2-40B4-BE49-F238E27FC236}">
              <a16:creationId xmlns:a16="http://schemas.microsoft.com/office/drawing/2014/main" id="{13E98E34-11C4-68E3-42F2-BEC7E317B872}"/>
            </a:ext>
          </a:extLst>
        </xdr:cNvPr>
        <xdr:cNvSpPr txBox="1"/>
      </xdr:nvSpPr>
      <xdr:spPr>
        <a:xfrm rot="16200000">
          <a:off x="6278340" y="6659334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5B7A3745-1F06-46D0-9671-310029468B56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H=2.60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34021</xdr:colOff>
      <xdr:row>34</xdr:row>
      <xdr:rowOff>10884</xdr:rowOff>
    </xdr:from>
    <xdr:to>
      <xdr:col>8</xdr:col>
      <xdr:colOff>208194</xdr:colOff>
      <xdr:row>35</xdr:row>
      <xdr:rowOff>126544</xdr:rowOff>
    </xdr:to>
    <xdr:sp macro="" textlink="$L$28">
      <xdr:nvSpPr>
        <xdr:cNvPr id="19" name="テキスト ボックス 18">
          <a:extLst>
            <a:ext uri="{FF2B5EF4-FFF2-40B4-BE49-F238E27FC236}">
              <a16:creationId xmlns:a16="http://schemas.microsoft.com/office/drawing/2014/main" id="{09E91549-678E-9489-2138-BBAA014C1321}"/>
            </a:ext>
          </a:extLst>
        </xdr:cNvPr>
        <xdr:cNvSpPr txBox="1"/>
      </xdr:nvSpPr>
      <xdr:spPr>
        <a:xfrm rot="16200000">
          <a:off x="5856519" y="5849708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9F103E7E-0DB0-4F10-88E7-FD9AED782221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h1=1.20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34021</xdr:colOff>
      <xdr:row>40</xdr:row>
      <xdr:rowOff>38100</xdr:rowOff>
    </xdr:from>
    <xdr:to>
      <xdr:col>8</xdr:col>
      <xdr:colOff>208194</xdr:colOff>
      <xdr:row>41</xdr:row>
      <xdr:rowOff>153759</xdr:rowOff>
    </xdr:to>
    <xdr:sp macro="" textlink="$L$29">
      <xdr:nvSpPr>
        <xdr:cNvPr id="20" name="テキスト ボックス 19">
          <a:extLst>
            <a:ext uri="{FF2B5EF4-FFF2-40B4-BE49-F238E27FC236}">
              <a16:creationId xmlns:a16="http://schemas.microsoft.com/office/drawing/2014/main" id="{3EA45877-8B13-CD7E-C23B-868BB4E55655}"/>
            </a:ext>
          </a:extLst>
        </xdr:cNvPr>
        <xdr:cNvSpPr txBox="1"/>
      </xdr:nvSpPr>
      <xdr:spPr>
        <a:xfrm rot="16200000">
          <a:off x="5856519" y="6897459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4643A108-3E5E-4648-BDC1-29DAF186751B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h2=0.65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238128</xdr:colOff>
      <xdr:row>42</xdr:row>
      <xdr:rowOff>99330</xdr:rowOff>
    </xdr:from>
    <xdr:to>
      <xdr:col>8</xdr:col>
      <xdr:colOff>387803</xdr:colOff>
      <xdr:row>44</xdr:row>
      <xdr:rowOff>44900</xdr:rowOff>
    </xdr:to>
    <xdr:sp macro="" textlink="$L$30">
      <xdr:nvSpPr>
        <xdr:cNvPr id="21" name="テキスト ボックス 20">
          <a:extLst>
            <a:ext uri="{FF2B5EF4-FFF2-40B4-BE49-F238E27FC236}">
              <a16:creationId xmlns:a16="http://schemas.microsoft.com/office/drawing/2014/main" id="{53FBF5A3-ED54-84D5-D10D-B885D3008B86}"/>
            </a:ext>
          </a:extLst>
        </xdr:cNvPr>
        <xdr:cNvSpPr txBox="1"/>
      </xdr:nvSpPr>
      <xdr:spPr>
        <a:xfrm rot="16200000">
          <a:off x="6048377" y="7311117"/>
          <a:ext cx="285749" cy="1496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l"/>
          <a:fld id="{07CB91DB-49C2-426C-9078-2402E24F488E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l"/>
            <a:t>h3=0.15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27217</xdr:colOff>
      <xdr:row>45</xdr:row>
      <xdr:rowOff>85725</xdr:rowOff>
    </xdr:from>
    <xdr:to>
      <xdr:col>8</xdr:col>
      <xdr:colOff>201390</xdr:colOff>
      <xdr:row>47</xdr:row>
      <xdr:rowOff>31296</xdr:rowOff>
    </xdr:to>
    <xdr:sp macro="" textlink="$L$31">
      <xdr:nvSpPr>
        <xdr:cNvPr id="22" name="テキスト ボックス 21">
          <a:extLst>
            <a:ext uri="{FF2B5EF4-FFF2-40B4-BE49-F238E27FC236}">
              <a16:creationId xmlns:a16="http://schemas.microsoft.com/office/drawing/2014/main" id="{A3CC57BC-DDF6-14DD-B755-3925954BF380}"/>
            </a:ext>
          </a:extLst>
        </xdr:cNvPr>
        <xdr:cNvSpPr txBox="1"/>
      </xdr:nvSpPr>
      <xdr:spPr>
        <a:xfrm rot="16200000">
          <a:off x="5849715" y="7795531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F12F5B20-28B9-47B6-BA71-D3A3824F985C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h4=0.60 m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299360</xdr:colOff>
      <xdr:row>40</xdr:row>
      <xdr:rowOff>153759</xdr:rowOff>
    </xdr:from>
    <xdr:to>
      <xdr:col>4</xdr:col>
      <xdr:colOff>473533</xdr:colOff>
      <xdr:row>42</xdr:row>
      <xdr:rowOff>99329</xdr:rowOff>
    </xdr:to>
    <xdr:sp macro="" textlink="$L$32">
      <xdr:nvSpPr>
        <xdr:cNvPr id="23" name="テキスト ボックス 22">
          <a:extLst>
            <a:ext uri="{FF2B5EF4-FFF2-40B4-BE49-F238E27FC236}">
              <a16:creationId xmlns:a16="http://schemas.microsoft.com/office/drawing/2014/main" id="{3E6B8529-9A29-63FB-2CFD-B6F972DFA82A}"/>
            </a:ext>
          </a:extLst>
        </xdr:cNvPr>
        <xdr:cNvSpPr txBox="1"/>
      </xdr:nvSpPr>
      <xdr:spPr>
        <a:xfrm rot="16200000">
          <a:off x="3155501" y="7013118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D9AF19B-0031-4982-8BEB-B764C1DF79C8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h5=2.00 m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700771</xdr:colOff>
      <xdr:row>40</xdr:row>
      <xdr:rowOff>126544</xdr:rowOff>
    </xdr:from>
    <xdr:to>
      <xdr:col>2</xdr:col>
      <xdr:colOff>133355</xdr:colOff>
      <xdr:row>42</xdr:row>
      <xdr:rowOff>72114</xdr:rowOff>
    </xdr:to>
    <xdr:sp macro="" textlink="$L$32">
      <xdr:nvSpPr>
        <xdr:cNvPr id="24" name="テキスト ボックス 23">
          <a:extLst>
            <a:ext uri="{FF2B5EF4-FFF2-40B4-BE49-F238E27FC236}">
              <a16:creationId xmlns:a16="http://schemas.microsoft.com/office/drawing/2014/main" id="{C31079E5-3124-06B2-4BE5-9C71C609BE71}"/>
            </a:ext>
          </a:extLst>
        </xdr:cNvPr>
        <xdr:cNvSpPr txBox="1"/>
      </xdr:nvSpPr>
      <xdr:spPr>
        <a:xfrm rot="16200000">
          <a:off x="1332144" y="6985903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7D9AF19B-0031-4982-8BEB-B764C1DF79C8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h5=2.00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251735</xdr:colOff>
      <xdr:row>36</xdr:row>
      <xdr:rowOff>38100</xdr:rowOff>
    </xdr:from>
    <xdr:to>
      <xdr:col>8</xdr:col>
      <xdr:colOff>425908</xdr:colOff>
      <xdr:row>37</xdr:row>
      <xdr:rowOff>153759</xdr:rowOff>
    </xdr:to>
    <xdr:sp macro="" textlink="$L$33">
      <xdr:nvSpPr>
        <xdr:cNvPr id="25" name="テキスト ボックス 24">
          <a:extLst>
            <a:ext uri="{FF2B5EF4-FFF2-40B4-BE49-F238E27FC236}">
              <a16:creationId xmlns:a16="http://schemas.microsoft.com/office/drawing/2014/main" id="{A374232B-444F-DC00-6777-8380CFF8F218}"/>
            </a:ext>
          </a:extLst>
        </xdr:cNvPr>
        <xdr:cNvSpPr txBox="1"/>
      </xdr:nvSpPr>
      <xdr:spPr>
        <a:xfrm rot="16200000">
          <a:off x="6074233" y="6217102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DFFEE0EE-9C99-4412-B4B8-48B87ECF8F90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H1=1.85 m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244932</xdr:colOff>
      <xdr:row>45</xdr:row>
      <xdr:rowOff>65314</xdr:rowOff>
    </xdr:from>
    <xdr:to>
      <xdr:col>8</xdr:col>
      <xdr:colOff>419105</xdr:colOff>
      <xdr:row>47</xdr:row>
      <xdr:rowOff>10885</xdr:rowOff>
    </xdr:to>
    <xdr:sp macro="" textlink="$L$34">
      <xdr:nvSpPr>
        <xdr:cNvPr id="26" name="テキスト ボックス 25">
          <a:extLst>
            <a:ext uri="{FF2B5EF4-FFF2-40B4-BE49-F238E27FC236}">
              <a16:creationId xmlns:a16="http://schemas.microsoft.com/office/drawing/2014/main" id="{9468F063-7353-1A75-3830-C7C03B1ABD92}"/>
            </a:ext>
          </a:extLst>
        </xdr:cNvPr>
        <xdr:cNvSpPr txBox="1"/>
      </xdr:nvSpPr>
      <xdr:spPr>
        <a:xfrm rot="16200000">
          <a:off x="6067430" y="7775120"/>
          <a:ext cx="285749" cy="1741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b" anchorCtr="0"/>
        <a:lstStyle/>
        <a:p>
          <a:pPr algn="ctr"/>
          <a:fld id="{2CFA6883-3433-4E32-8B6B-9E46818D00CC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H2=0.75 m</a:t>
          </a:fld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5373;&#35336;&#35336;&#31639;&#26360;&#65288;Excel&#31561;&#36890;&#24120;&#20351;&#29992;&#65289;\&#20844;&#38283;&#29992;&#65288;&#12497;&#12473;&#12527;&#12540;&#12489;&#35373;&#23450;&#65289;\&#21336;&#32020;&#24202;&#29256;&#27211;&#25903;&#38291;&#24179;&#34892;&#65314;&#33655;&#37325;&#65288;N&#21336;&#20301;&#65289;.xlsx" TargetMode="External"/><Relationship Id="rId1" Type="http://schemas.openxmlformats.org/officeDocument/2006/relationships/externalLinkPath" Target="/&#35373;&#35336;&#35336;&#31639;&#26360;&#65288;Excel&#31561;&#36890;&#24120;&#20351;&#29992;&#65289;/&#20844;&#38283;&#29992;&#65288;&#12497;&#12473;&#12527;&#12540;&#12489;&#35373;&#23450;&#65289;/&#21336;&#32020;&#24202;&#29256;&#27211;&#25903;&#38291;&#24179;&#34892;&#65314;&#33655;&#37325;&#65288;N&#21336;&#2030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5373;&#35336;&#35336;&#31639;&#26360;&#65288;Excel&#31561;&#36890;&#24120;&#20351;&#29992;&#65289;\&#20844;&#38283;&#29992;&#65288;&#12497;&#12473;&#12527;&#12540;&#12489;&#35373;&#23450;&#65289;\&#21336;&#32020;&#24202;&#29256;\syoban_shikanchokaku_A.xlsx" TargetMode="External"/><Relationship Id="rId1" Type="http://schemas.openxmlformats.org/officeDocument/2006/relationships/externalLinkPath" Target="/&#35373;&#35336;&#35336;&#31639;&#26360;&#65288;Excel&#31561;&#36890;&#24120;&#20351;&#29992;&#65289;/&#20844;&#38283;&#29992;&#65288;&#12497;&#12473;&#12527;&#12540;&#12489;&#35373;&#23450;&#65289;/&#21336;&#32020;&#24202;&#29256;/syoban_shikanchokaku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入力"/>
      <sheetName val="出力シート"/>
      <sheetName val="編集時"/>
    </sheetNames>
    <sheetDataSet>
      <sheetData sheetId="0">
        <row r="3">
          <cell r="F3">
            <v>1</v>
          </cell>
        </row>
        <row r="11">
          <cell r="G11">
            <v>2.5</v>
          </cell>
        </row>
        <row r="12">
          <cell r="G12">
            <v>2</v>
          </cell>
        </row>
        <row r="13">
          <cell r="G13">
            <v>4</v>
          </cell>
        </row>
        <row r="15">
          <cell r="F15">
            <v>8</v>
          </cell>
        </row>
        <row r="16">
          <cell r="F16">
            <v>140</v>
          </cell>
        </row>
        <row r="38">
          <cell r="H38">
            <v>63</v>
          </cell>
        </row>
        <row r="43">
          <cell r="E43">
            <v>30</v>
          </cell>
        </row>
        <row r="51">
          <cell r="G51">
            <v>8.25</v>
          </cell>
        </row>
        <row r="56">
          <cell r="G56">
            <v>6.4450000000000003</v>
          </cell>
        </row>
        <row r="61">
          <cell r="G61">
            <v>69.444999999999993</v>
          </cell>
        </row>
        <row r="66">
          <cell r="G66">
            <v>21</v>
          </cell>
        </row>
        <row r="75">
          <cell r="F75">
            <v>0.8</v>
          </cell>
        </row>
        <row r="78">
          <cell r="D78">
            <v>10</v>
          </cell>
          <cell r="H78">
            <v>20</v>
          </cell>
        </row>
        <row r="83">
          <cell r="F83">
            <v>1.055E-2</v>
          </cell>
        </row>
        <row r="87">
          <cell r="D87">
            <v>25</v>
          </cell>
          <cell r="E87">
            <v>12.5</v>
          </cell>
        </row>
        <row r="89">
          <cell r="D89">
            <v>40.54</v>
          </cell>
        </row>
        <row r="98">
          <cell r="D98">
            <v>16</v>
          </cell>
          <cell r="E98">
            <v>12.5</v>
          </cell>
        </row>
        <row r="100">
          <cell r="D100">
            <v>15.89</v>
          </cell>
        </row>
        <row r="109">
          <cell r="D109">
            <v>0.53300000000000003</v>
          </cell>
        </row>
        <row r="110">
          <cell r="D110">
            <v>0.82199999999999995</v>
          </cell>
        </row>
        <row r="115">
          <cell r="H115">
            <v>104.2</v>
          </cell>
        </row>
        <row r="121">
          <cell r="J121">
            <v>7.9</v>
          </cell>
        </row>
        <row r="128">
          <cell r="D128">
            <v>0.38300000000000001</v>
          </cell>
        </row>
        <row r="129">
          <cell r="D129">
            <v>0.872</v>
          </cell>
        </row>
        <row r="134">
          <cell r="I134">
            <v>75.8</v>
          </cell>
        </row>
        <row r="140">
          <cell r="J140">
            <v>3.1</v>
          </cell>
        </row>
        <row r="145">
          <cell r="D145">
            <v>10</v>
          </cell>
          <cell r="E145">
            <v>13</v>
          </cell>
          <cell r="F145">
            <v>16</v>
          </cell>
          <cell r="G145">
            <v>19</v>
          </cell>
          <cell r="H145">
            <v>22</v>
          </cell>
        </row>
        <row r="146">
          <cell r="D146">
            <v>0.71330000000000005</v>
          </cell>
          <cell r="E146">
            <v>1.2669999999999999</v>
          </cell>
          <cell r="F146">
            <v>1.986</v>
          </cell>
          <cell r="G146">
            <v>2.8650000000000002</v>
          </cell>
          <cell r="H146">
            <v>3.871</v>
          </cell>
        </row>
        <row r="148">
          <cell r="D148">
            <v>25</v>
          </cell>
          <cell r="E148">
            <v>29</v>
          </cell>
          <cell r="F148">
            <v>32</v>
          </cell>
          <cell r="G148">
            <v>35</v>
          </cell>
          <cell r="H148">
            <v>38</v>
          </cell>
        </row>
        <row r="149">
          <cell r="D149">
            <v>5.0670000000000002</v>
          </cell>
          <cell r="E149">
            <v>6.4240000000000004</v>
          </cell>
          <cell r="F149">
            <v>7.9420000000000002</v>
          </cell>
          <cell r="G149">
            <v>9.5660000000000007</v>
          </cell>
          <cell r="H149">
            <v>11.4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入力"/>
      <sheetName val="出力シート"/>
      <sheetName val="編集時"/>
    </sheetNames>
    <sheetDataSet>
      <sheetData sheetId="0">
        <row r="3">
          <cell r="F3">
            <v>1</v>
          </cell>
        </row>
        <row r="11">
          <cell r="G11">
            <v>2</v>
          </cell>
        </row>
        <row r="12">
          <cell r="G12">
            <v>1</v>
          </cell>
        </row>
        <row r="13">
          <cell r="G13">
            <v>5</v>
          </cell>
        </row>
        <row r="15">
          <cell r="F15">
            <v>8</v>
          </cell>
        </row>
        <row r="16">
          <cell r="F16">
            <v>140</v>
          </cell>
        </row>
        <row r="36">
          <cell r="I36">
            <v>24.8</v>
          </cell>
        </row>
        <row r="41">
          <cell r="E41">
            <v>25</v>
          </cell>
        </row>
        <row r="49">
          <cell r="G49">
            <v>7.25</v>
          </cell>
        </row>
        <row r="54">
          <cell r="G54">
            <v>3.625</v>
          </cell>
        </row>
        <row r="59">
          <cell r="G59">
            <v>28.425000000000001</v>
          </cell>
        </row>
        <row r="64">
          <cell r="H64">
            <v>19.2</v>
          </cell>
        </row>
        <row r="73">
          <cell r="F73">
            <v>0.8</v>
          </cell>
        </row>
        <row r="76">
          <cell r="D76">
            <v>10</v>
          </cell>
          <cell r="H76">
            <v>15</v>
          </cell>
        </row>
        <row r="81">
          <cell r="F81">
            <v>1.055E-2</v>
          </cell>
        </row>
        <row r="85">
          <cell r="D85">
            <v>19</v>
          </cell>
          <cell r="E85">
            <v>15</v>
          </cell>
        </row>
        <row r="87">
          <cell r="D87">
            <v>19.100000000000001</v>
          </cell>
        </row>
        <row r="96">
          <cell r="D96">
            <v>16</v>
          </cell>
          <cell r="E96">
            <v>12.5</v>
          </cell>
        </row>
        <row r="98">
          <cell r="D98">
            <v>15.89</v>
          </cell>
        </row>
        <row r="107">
          <cell r="D107">
            <v>0.45500000000000002</v>
          </cell>
        </row>
        <row r="108">
          <cell r="D108">
            <v>0.84799999999999998</v>
          </cell>
        </row>
        <row r="113">
          <cell r="H113">
            <v>117</v>
          </cell>
        </row>
        <row r="119">
          <cell r="J119">
            <v>6.5</v>
          </cell>
        </row>
        <row r="126">
          <cell r="D126">
            <v>0.42699999999999999</v>
          </cell>
        </row>
        <row r="127">
          <cell r="D127">
            <v>0.85799999999999998</v>
          </cell>
        </row>
        <row r="132">
          <cell r="I132">
            <v>93.9</v>
          </cell>
        </row>
        <row r="138">
          <cell r="J138">
            <v>4.7</v>
          </cell>
        </row>
        <row r="143">
          <cell r="D143">
            <v>10</v>
          </cell>
          <cell r="E143">
            <v>13</v>
          </cell>
          <cell r="F143">
            <v>16</v>
          </cell>
          <cell r="G143">
            <v>19</v>
          </cell>
          <cell r="H143">
            <v>22</v>
          </cell>
        </row>
        <row r="144">
          <cell r="D144">
            <v>0.71330000000000005</v>
          </cell>
          <cell r="E144">
            <v>1.2669999999999999</v>
          </cell>
          <cell r="F144">
            <v>1.986</v>
          </cell>
          <cell r="G144">
            <v>2.8650000000000002</v>
          </cell>
          <cell r="H144">
            <v>3.871</v>
          </cell>
        </row>
        <row r="146">
          <cell r="D146">
            <v>25</v>
          </cell>
          <cell r="E146">
            <v>29</v>
          </cell>
          <cell r="F146">
            <v>32</v>
          </cell>
          <cell r="G146">
            <v>35</v>
          </cell>
          <cell r="H146">
            <v>38</v>
          </cell>
        </row>
        <row r="147">
          <cell r="D147">
            <v>5.0670000000000002</v>
          </cell>
          <cell r="E147">
            <v>6.4240000000000004</v>
          </cell>
          <cell r="F147">
            <v>7.9420000000000002</v>
          </cell>
          <cell r="G147">
            <v>9.5660000000000007</v>
          </cell>
          <cell r="H147">
            <v>11.4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F0000" mc:Ignorable="a14" a14:legacySpreadsheetColorIndex="1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F0000" mc:Ignorable="a14" a14:legacySpreadsheetColorIndex="1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3"/>
  <sheetViews>
    <sheetView showGridLines="0" tabSelected="1" view="pageBreakPreview" topLeftCell="B1" zoomScale="140" zoomScaleNormal="100" zoomScaleSheetLayoutView="140" workbookViewId="0">
      <selection activeCell="G55" sqref="G55"/>
    </sheetView>
  </sheetViews>
  <sheetFormatPr defaultRowHeight="13.5" customHeight="1" x14ac:dyDescent="0.15"/>
  <cols>
    <col min="1" max="1" width="9" style="2"/>
    <col min="2" max="10" width="9.75" style="2" customWidth="1"/>
    <col min="11" max="11" width="7.125" style="2" customWidth="1"/>
    <col min="12" max="16384" width="9" style="2"/>
  </cols>
  <sheetData>
    <row r="2" spans="2:6" ht="13.5" customHeight="1" x14ac:dyDescent="0.15">
      <c r="B2" s="44" t="s">
        <v>11</v>
      </c>
    </row>
    <row r="4" spans="2:6" ht="13.5" customHeight="1" x14ac:dyDescent="0.15">
      <c r="B4" s="2" t="s">
        <v>0</v>
      </c>
    </row>
    <row r="6" spans="2:6" ht="13.5" customHeight="1" x14ac:dyDescent="0.15">
      <c r="B6" s="2" t="s">
        <v>1</v>
      </c>
    </row>
    <row r="8" spans="2:6" ht="13.5" customHeight="1" x14ac:dyDescent="0.15">
      <c r="C8" s="2" t="s">
        <v>41</v>
      </c>
      <c r="F8" s="2" t="s">
        <v>42</v>
      </c>
    </row>
    <row r="9" spans="2:6" ht="13.5" customHeight="1" x14ac:dyDescent="0.15">
      <c r="F9" s="2" t="s">
        <v>43</v>
      </c>
    </row>
    <row r="10" spans="2:6" ht="13.5" customHeight="1" x14ac:dyDescent="0.15">
      <c r="C10" s="19"/>
      <c r="D10" s="19"/>
      <c r="F10" s="2" t="s">
        <v>44</v>
      </c>
    </row>
    <row r="11" spans="2:6" ht="13.5" customHeight="1" x14ac:dyDescent="0.15">
      <c r="F11" s="2" t="s">
        <v>45</v>
      </c>
    </row>
    <row r="12" spans="2:6" ht="13.5" customHeight="1" x14ac:dyDescent="0.15">
      <c r="C12" s="2" t="s">
        <v>96</v>
      </c>
    </row>
    <row r="13" spans="2:6" ht="13.5" customHeight="1" x14ac:dyDescent="0.15">
      <c r="D13" s="3"/>
      <c r="F13" s="5" t="s">
        <v>50</v>
      </c>
    </row>
    <row r="14" spans="2:6" ht="13.5" customHeight="1" x14ac:dyDescent="0.15">
      <c r="D14" s="3"/>
      <c r="E14" s="4"/>
      <c r="F14" s="2" t="s">
        <v>51</v>
      </c>
    </row>
    <row r="15" spans="2:6" ht="13.5" customHeight="1" x14ac:dyDescent="0.15">
      <c r="D15" s="3"/>
      <c r="E15" s="4"/>
      <c r="F15" s="2" t="s">
        <v>46</v>
      </c>
    </row>
    <row r="16" spans="2:6" ht="13.5" customHeight="1" x14ac:dyDescent="0.15">
      <c r="D16" s="3"/>
      <c r="E16" s="4"/>
      <c r="F16" s="2" t="s">
        <v>47</v>
      </c>
    </row>
    <row r="17" spans="2:12" ht="13.5" customHeight="1" x14ac:dyDescent="0.15">
      <c r="D17" s="3"/>
      <c r="E17" s="4"/>
      <c r="F17" s="2" t="s">
        <v>48</v>
      </c>
    </row>
    <row r="18" spans="2:12" ht="13.5" customHeight="1" x14ac:dyDescent="0.15">
      <c r="D18" s="3"/>
      <c r="E18" s="4"/>
      <c r="F18" s="2" t="s">
        <v>49</v>
      </c>
    </row>
    <row r="19" spans="2:12" ht="13.5" customHeight="1" x14ac:dyDescent="0.15">
      <c r="D19" s="3"/>
      <c r="E19" s="5" t="s">
        <v>54</v>
      </c>
    </row>
    <row r="21" spans="2:12" ht="13.5" customHeight="1" x14ac:dyDescent="0.15">
      <c r="B21" s="2" t="s">
        <v>2</v>
      </c>
    </row>
    <row r="24" spans="2:12" ht="13.5" customHeight="1" x14ac:dyDescent="0.15">
      <c r="L24" s="2" t="str">
        <f>"L1="&amp;FIXED(F60,2)&amp;" m"</f>
        <v>L1=0.60 m</v>
      </c>
    </row>
    <row r="25" spans="2:12" ht="13.5" customHeight="1" x14ac:dyDescent="0.15">
      <c r="L25" s="2" t="str">
        <f>"B="&amp;FIXED(F61,2)&amp;" m"</f>
        <v>B=0.50 m</v>
      </c>
    </row>
    <row r="26" spans="2:12" ht="13.5" customHeight="1" x14ac:dyDescent="0.15">
      <c r="L26" s="2" t="str">
        <f>"W="&amp;FIXED(F57,2)&amp;" m"</f>
        <v>W=1.20 m</v>
      </c>
    </row>
    <row r="27" spans="2:12" ht="13.5" customHeight="1" x14ac:dyDescent="0.15">
      <c r="L27" s="2" t="str">
        <f>"H="&amp;FIXED(F54,2)&amp;" m"</f>
        <v>H=2.60 m</v>
      </c>
    </row>
    <row r="28" spans="2:12" ht="13.5" customHeight="1" x14ac:dyDescent="0.15">
      <c r="L28" s="2" t="str">
        <f>"h1="&amp;FIXED(F55,2)&amp;" m"</f>
        <v>h1=1.20 m</v>
      </c>
    </row>
    <row r="29" spans="2:12" ht="13.5" customHeight="1" x14ac:dyDescent="0.15">
      <c r="L29" s="2" t="str">
        <f>"h2="&amp;FIXED(F56,2)&amp;" m"</f>
        <v>h2=0.65 m</v>
      </c>
    </row>
    <row r="30" spans="2:12" ht="13.5" customHeight="1" x14ac:dyDescent="0.15">
      <c r="L30" s="2" t="str">
        <f>"h3="&amp;FIXED(F58,2)&amp;" m"</f>
        <v>h3=0.15 m</v>
      </c>
    </row>
    <row r="31" spans="2:12" ht="13.5" customHeight="1" x14ac:dyDescent="0.15">
      <c r="L31" s="2" t="str">
        <f>"h4="&amp;FIXED(F59,2)&amp;" m"</f>
        <v>h4=0.60 m</v>
      </c>
    </row>
    <row r="32" spans="2:12" ht="13.5" customHeight="1" x14ac:dyDescent="0.15">
      <c r="L32" s="2" t="str">
        <f>"h5="&amp;FIXED(F62,2)&amp;" m"</f>
        <v>h5=2.00 m</v>
      </c>
    </row>
    <row r="33" spans="3:12" ht="13.5" customHeight="1" x14ac:dyDescent="0.15">
      <c r="L33" s="2" t="str">
        <f>"H1="&amp;FIXED(F55+F56,2)&amp;" m"</f>
        <v>H1=1.85 m</v>
      </c>
    </row>
    <row r="34" spans="3:12" ht="13.5" customHeight="1" x14ac:dyDescent="0.15">
      <c r="L34" s="2" t="str">
        <f>"H2="&amp;FIXED(F58+F59,2)&amp;" m"</f>
        <v>H2=0.75 m</v>
      </c>
    </row>
    <row r="47" spans="3:12" ht="13.5" customHeight="1" x14ac:dyDescent="0.15">
      <c r="C47" s="5"/>
    </row>
    <row r="48" spans="3:12" ht="13.5" customHeight="1" x14ac:dyDescent="0.15">
      <c r="C48" s="5"/>
    </row>
    <row r="50" spans="2:12" ht="13.5" customHeight="1" x14ac:dyDescent="0.15">
      <c r="D50" s="5"/>
      <c r="G50" s="6"/>
    </row>
    <row r="51" spans="2:12" ht="13.5" customHeight="1" x14ac:dyDescent="0.15">
      <c r="D51" s="5"/>
      <c r="G51" s="6"/>
    </row>
    <row r="53" spans="2:12" ht="13.5" customHeight="1" x14ac:dyDescent="0.15">
      <c r="J53" s="17" t="s">
        <v>20</v>
      </c>
    </row>
    <row r="54" spans="2:12" ht="13.5" customHeight="1" x14ac:dyDescent="0.15">
      <c r="C54" s="1" t="s">
        <v>3</v>
      </c>
      <c r="E54" s="3" t="s">
        <v>12</v>
      </c>
      <c r="F54" s="7">
        <f>F55+F56+F58+F59</f>
        <v>2.6</v>
      </c>
      <c r="G54" s="2" t="s">
        <v>4</v>
      </c>
      <c r="H54" s="43" t="s">
        <v>90</v>
      </c>
      <c r="I54" s="8"/>
    </row>
    <row r="55" spans="2:12" ht="13.5" customHeight="1" x14ac:dyDescent="0.15">
      <c r="C55" s="5" t="s">
        <v>32</v>
      </c>
      <c r="E55" s="3" t="s">
        <v>10</v>
      </c>
      <c r="F55" s="55">
        <v>1.2</v>
      </c>
      <c r="G55" s="2" t="s">
        <v>4</v>
      </c>
      <c r="H55" s="3" t="s">
        <v>83</v>
      </c>
      <c r="I55" s="56">
        <v>23</v>
      </c>
      <c r="J55" s="2" t="s">
        <v>28</v>
      </c>
      <c r="L55" s="18" t="s">
        <v>138</v>
      </c>
    </row>
    <row r="56" spans="2:12" ht="13.5" customHeight="1" x14ac:dyDescent="0.15">
      <c r="C56" s="2" t="s">
        <v>33</v>
      </c>
      <c r="E56" s="3" t="s">
        <v>13</v>
      </c>
      <c r="F56" s="55">
        <v>0.65</v>
      </c>
      <c r="G56" s="2" t="s">
        <v>4</v>
      </c>
      <c r="I56" s="57" t="s">
        <v>29</v>
      </c>
    </row>
    <row r="57" spans="2:12" ht="13.5" customHeight="1" x14ac:dyDescent="0.15">
      <c r="C57" s="5" t="s">
        <v>34</v>
      </c>
      <c r="E57" s="3" t="s">
        <v>24</v>
      </c>
      <c r="F57" s="55">
        <v>1.2</v>
      </c>
      <c r="G57" s="2" t="s">
        <v>4</v>
      </c>
      <c r="H57" s="5" t="s">
        <v>91</v>
      </c>
    </row>
    <row r="58" spans="2:12" ht="13.5" customHeight="1" x14ac:dyDescent="0.15">
      <c r="C58" s="2" t="s">
        <v>25</v>
      </c>
      <c r="E58" s="3" t="s">
        <v>19</v>
      </c>
      <c r="F58" s="55">
        <v>0.15</v>
      </c>
      <c r="G58" s="2" t="s">
        <v>4</v>
      </c>
      <c r="H58" s="3" t="s">
        <v>87</v>
      </c>
      <c r="I58" s="56">
        <v>30</v>
      </c>
      <c r="J58" s="2" t="s">
        <v>88</v>
      </c>
    </row>
    <row r="59" spans="2:12" ht="13.5" customHeight="1" x14ac:dyDescent="0.15">
      <c r="C59" s="1" t="s">
        <v>14</v>
      </c>
      <c r="E59" s="3" t="s">
        <v>18</v>
      </c>
      <c r="F59" s="55">
        <v>0.6</v>
      </c>
      <c r="G59" s="2" t="s">
        <v>4</v>
      </c>
      <c r="H59" s="3" t="s">
        <v>139</v>
      </c>
      <c r="I59" s="42">
        <f>ROUND(I58/100,2)</f>
        <v>0.3</v>
      </c>
      <c r="J59" s="2" t="s">
        <v>22</v>
      </c>
    </row>
    <row r="60" spans="2:12" ht="13.5" customHeight="1" x14ac:dyDescent="0.15">
      <c r="C60" s="1" t="s">
        <v>16</v>
      </c>
      <c r="E60" s="3" t="s">
        <v>15</v>
      </c>
      <c r="F60" s="55">
        <v>0.6</v>
      </c>
      <c r="G60" s="2" t="s">
        <v>27</v>
      </c>
      <c r="I60" s="9">
        <f>F60*2</f>
        <v>1.2</v>
      </c>
      <c r="J60" s="2" t="s">
        <v>26</v>
      </c>
    </row>
    <row r="61" spans="2:12" ht="13.5" customHeight="1" x14ac:dyDescent="0.15">
      <c r="C61" s="1" t="s">
        <v>17</v>
      </c>
      <c r="E61" s="3" t="s">
        <v>89</v>
      </c>
      <c r="F61" s="55">
        <v>0.5</v>
      </c>
      <c r="G61" s="2" t="s">
        <v>4</v>
      </c>
    </row>
    <row r="62" spans="2:12" ht="13.5" customHeight="1" x14ac:dyDescent="0.15">
      <c r="C62" s="2" t="s">
        <v>35</v>
      </c>
      <c r="E62" s="3" t="s">
        <v>21</v>
      </c>
      <c r="F62" s="7">
        <f>ROUND(F55/2+F56+F58+F59,2)</f>
        <v>2</v>
      </c>
      <c r="G62" s="2" t="s">
        <v>4</v>
      </c>
    </row>
    <row r="63" spans="2:12" ht="13.5" customHeight="1" x14ac:dyDescent="0.15">
      <c r="E63" s="3"/>
      <c r="F63" s="7"/>
    </row>
    <row r="64" spans="2:12" ht="13.5" customHeight="1" x14ac:dyDescent="0.15">
      <c r="B64" s="2" t="s">
        <v>5</v>
      </c>
    </row>
    <row r="66" spans="2:13" ht="13.5" customHeight="1" x14ac:dyDescent="0.15">
      <c r="B66" s="2" t="s">
        <v>6</v>
      </c>
    </row>
    <row r="68" spans="2:13" ht="13.5" customHeight="1" x14ac:dyDescent="0.15">
      <c r="C68" s="2" t="s">
        <v>30</v>
      </c>
    </row>
    <row r="69" spans="2:13" ht="13.5" customHeight="1" x14ac:dyDescent="0.15">
      <c r="C69" t="s">
        <v>53</v>
      </c>
    </row>
    <row r="71" spans="2:13" ht="13.5" customHeight="1" x14ac:dyDescent="0.15">
      <c r="C71" t="s">
        <v>52</v>
      </c>
      <c r="D71" s="19"/>
      <c r="I71" s="21">
        <f>ROUND(1/2*0.00123*40^2*1*1.2*1.9*0.8,2)</f>
        <v>1.79</v>
      </c>
      <c r="J71" s="2" t="s">
        <v>31</v>
      </c>
    </row>
    <row r="73" spans="2:13" ht="13.5" customHeight="1" x14ac:dyDescent="0.15">
      <c r="C73" s="2" t="str">
        <f xml:space="preserve"> "表示板の面積　　　　　　　A ＝ W × ｈ1 ＝ "&amp;FIXED(F57,2)&amp;" × "&amp;FIXED(F55,2)</f>
        <v>表示板の面積　　　　　　　A ＝ W × ｈ1 ＝ 1.20 × 1.20</v>
      </c>
      <c r="E73" s="10"/>
      <c r="F73" s="11"/>
      <c r="G73" s="6"/>
      <c r="H73" s="11"/>
      <c r="I73" s="21">
        <f>ROUND(F57*F55,2)</f>
        <v>1.44</v>
      </c>
      <c r="J73" s="2" t="s">
        <v>36</v>
      </c>
      <c r="M73" s="20"/>
    </row>
    <row r="74" spans="2:13" ht="13.5" customHeight="1" x14ac:dyDescent="0.15">
      <c r="G74" s="6"/>
      <c r="H74" s="11"/>
    </row>
    <row r="75" spans="2:13" ht="13.5" customHeight="1" x14ac:dyDescent="0.15">
      <c r="C75" s="2" t="s">
        <v>55</v>
      </c>
      <c r="G75" s="2" t="str">
        <f>FIXED(I71,2)&amp;" × "&amp;FIXED(I73,2)</f>
        <v>1.79 × 1.44</v>
      </c>
      <c r="I75" s="21">
        <f>ROUND(I71*I73,2)</f>
        <v>2.58</v>
      </c>
      <c r="J75" s="2" t="s">
        <v>37</v>
      </c>
    </row>
    <row r="77" spans="2:13" ht="13.5" customHeight="1" x14ac:dyDescent="0.15">
      <c r="C77" s="2" t="s">
        <v>40</v>
      </c>
      <c r="H77" s="2" t="s">
        <v>38</v>
      </c>
      <c r="I77" s="21">
        <f>F62</f>
        <v>2</v>
      </c>
      <c r="J77" s="2" t="s">
        <v>39</v>
      </c>
    </row>
    <row r="79" spans="2:13" ht="13.5" customHeight="1" x14ac:dyDescent="0.15">
      <c r="B79" s="2" t="s">
        <v>8</v>
      </c>
    </row>
    <row r="81" spans="3:8" ht="13.5" customHeight="1" x14ac:dyDescent="0.15">
      <c r="C81" s="2" t="s">
        <v>93</v>
      </c>
    </row>
    <row r="83" spans="3:8" ht="13.5" customHeight="1" x14ac:dyDescent="0.15">
      <c r="C83" s="2" t="str">
        <f>"ＭM ＝ Ｐ × Ｙ ＝ "&amp;FIXED(I75,2)&amp;" × "&amp;FIXED(I77,2)</f>
        <v>ＭM ＝ Ｐ × Ｙ ＝ 2.58 × 2.00</v>
      </c>
      <c r="E83" s="12"/>
      <c r="F83" s="11"/>
      <c r="G83" s="21">
        <f>ROUND(I75*I77,2)</f>
        <v>5.16</v>
      </c>
      <c r="H83" s="2" t="s">
        <v>23</v>
      </c>
    </row>
    <row r="85" spans="3:8" ht="13.5" customHeight="1" x14ac:dyDescent="0.15">
      <c r="C85" s="2" t="s">
        <v>9</v>
      </c>
    </row>
    <row r="87" spans="3:8" ht="13.5" customHeight="1" x14ac:dyDescent="0.15">
      <c r="C87" s="2" t="s">
        <v>98</v>
      </c>
    </row>
    <row r="89" spans="3:8" ht="13.5" customHeight="1" x14ac:dyDescent="0.15">
      <c r="C89" s="2" t="str">
        <f>" wf ＝ Ｌ × B × ｈ4 × wf ＝ "&amp;FIXED(I60,2)&amp;" × "&amp;FIXED(F61,2)&amp;" × "&amp;FIXED(F59,2)&amp;" × "&amp;FIXED(I55,2)</f>
        <v xml:space="preserve"> wf ＝ Ｌ × B × ｈ4 × wf ＝ 1.20 × 0.50 × 0.60 × 23.00</v>
      </c>
    </row>
    <row r="90" spans="3:8" ht="13.5" customHeight="1" x14ac:dyDescent="0.15">
      <c r="D90" s="3"/>
      <c r="E90" s="14"/>
      <c r="G90" s="21">
        <f>ROUND(I60*F61*F59*I55,2)</f>
        <v>8.2799999999999994</v>
      </c>
      <c r="H90" s="2" t="s">
        <v>22</v>
      </c>
    </row>
    <row r="91" spans="3:8" ht="13.5" customHeight="1" x14ac:dyDescent="0.15">
      <c r="C91" s="2" t="s">
        <v>99</v>
      </c>
    </row>
    <row r="99" spans="3:11" ht="13.5" customHeight="1" x14ac:dyDescent="0.15">
      <c r="F99" s="12"/>
      <c r="G99" s="15"/>
      <c r="H99" s="6"/>
      <c r="I99" s="25"/>
      <c r="K99" s="24"/>
    </row>
    <row r="100" spans="3:11" ht="13.5" customHeight="1" x14ac:dyDescent="0.15">
      <c r="K100" s="24"/>
    </row>
    <row r="101" spans="3:11" ht="13.5" customHeight="1" x14ac:dyDescent="0.15">
      <c r="C101" s="3"/>
      <c r="F101" s="12"/>
      <c r="G101" s="15"/>
      <c r="H101" s="6"/>
      <c r="I101" s="25"/>
      <c r="K101" s="24"/>
    </row>
    <row r="102" spans="3:11" ht="13.5" customHeight="1" x14ac:dyDescent="0.15">
      <c r="C102" s="3"/>
      <c r="F102" s="12"/>
      <c r="G102" s="15"/>
      <c r="H102" s="6"/>
      <c r="I102" s="25"/>
      <c r="K102" s="24"/>
    </row>
    <row r="103" spans="3:11" ht="13.5" customHeight="1" x14ac:dyDescent="0.15">
      <c r="C103" s="3"/>
      <c r="F103" s="12"/>
      <c r="G103" s="15"/>
      <c r="H103" s="6"/>
      <c r="I103" s="25"/>
      <c r="K103" s="24"/>
    </row>
    <row r="104" spans="3:11" ht="13.5" customHeight="1" x14ac:dyDescent="0.15">
      <c r="C104" s="3"/>
      <c r="F104" s="12"/>
      <c r="G104" s="15"/>
      <c r="H104" s="6"/>
      <c r="I104" s="25"/>
      <c r="K104" s="24"/>
    </row>
    <row r="105" spans="3:11" ht="13.5" customHeight="1" x14ac:dyDescent="0.15">
      <c r="C105" s="3"/>
      <c r="F105" s="12"/>
      <c r="G105" s="15"/>
      <c r="H105" s="6"/>
      <c r="I105" s="25"/>
      <c r="K105" s="24"/>
    </row>
    <row r="106" spans="3:11" ht="13.5" customHeight="1" x14ac:dyDescent="0.15">
      <c r="C106" s="3"/>
      <c r="F106" s="12"/>
      <c r="G106" s="15"/>
      <c r="H106" s="6"/>
      <c r="I106" s="25"/>
      <c r="K106" s="24"/>
    </row>
    <row r="107" spans="3:11" ht="13.5" customHeight="1" x14ac:dyDescent="0.15">
      <c r="C107" s="3"/>
      <c r="F107" s="12"/>
      <c r="G107" s="15"/>
      <c r="H107" s="6"/>
      <c r="K107" s="24"/>
    </row>
    <row r="108" spans="3:11" ht="13.5" customHeight="1" x14ac:dyDescent="0.15">
      <c r="C108" s="3"/>
      <c r="F108" s="12"/>
      <c r="G108" s="15"/>
      <c r="H108" s="6"/>
      <c r="K108" s="24"/>
    </row>
    <row r="109" spans="3:11" ht="13.5" customHeight="1" x14ac:dyDescent="0.15">
      <c r="C109" s="3"/>
      <c r="F109" s="12"/>
      <c r="G109" s="15"/>
      <c r="H109" s="6"/>
      <c r="K109" s="24"/>
    </row>
    <row r="110" spans="3:11" ht="13.5" customHeight="1" x14ac:dyDescent="0.15">
      <c r="C110" s="3"/>
      <c r="F110" s="12"/>
      <c r="G110" s="15"/>
      <c r="H110" s="6"/>
      <c r="I110" s="25"/>
      <c r="K110" s="24"/>
    </row>
    <row r="111" spans="3:11" ht="13.5" customHeight="1" x14ac:dyDescent="0.15">
      <c r="C111" s="3"/>
      <c r="F111" s="26" t="s">
        <v>77</v>
      </c>
      <c r="H111" s="6"/>
      <c r="I111" s="25"/>
      <c r="K111" s="24"/>
    </row>
    <row r="112" spans="3:11" ht="13.5" customHeight="1" x14ac:dyDescent="0.15">
      <c r="C112" s="3"/>
      <c r="G112" s="27" t="s">
        <v>78</v>
      </c>
      <c r="H112" s="6"/>
      <c r="I112" s="25"/>
      <c r="K112" s="24"/>
    </row>
    <row r="113" spans="3:11" ht="13.5" customHeight="1" x14ac:dyDescent="0.15">
      <c r="G113" s="27" t="s">
        <v>79</v>
      </c>
      <c r="H113" s="6"/>
      <c r="I113" s="25"/>
      <c r="K113" s="24"/>
    </row>
    <row r="114" spans="3:11" ht="13.5" customHeight="1" x14ac:dyDescent="0.15">
      <c r="F114" s="12"/>
      <c r="G114" s="15"/>
      <c r="H114" s="6"/>
      <c r="I114" s="25"/>
      <c r="K114" s="24"/>
    </row>
    <row r="115" spans="3:11" ht="13.5" customHeight="1" x14ac:dyDescent="0.15">
      <c r="D115" s="2" t="s">
        <v>56</v>
      </c>
      <c r="F115" s="12"/>
      <c r="G115" s="15"/>
      <c r="H115" s="6"/>
      <c r="I115" s="25"/>
      <c r="K115" s="24"/>
    </row>
    <row r="116" spans="3:11" ht="13.5" customHeight="1" x14ac:dyDescent="0.15">
      <c r="C116" s="3" t="s">
        <v>81</v>
      </c>
      <c r="D116" s="2" t="s">
        <v>80</v>
      </c>
      <c r="H116" s="6"/>
      <c r="I116" s="6"/>
      <c r="K116" s="24"/>
    </row>
    <row r="117" spans="3:11" ht="13.5" customHeight="1" x14ac:dyDescent="0.15">
      <c r="C117" s="3"/>
      <c r="H117" s="6"/>
      <c r="I117" s="6"/>
      <c r="K117" s="24"/>
    </row>
    <row r="118" spans="3:11" ht="13.5" customHeight="1" x14ac:dyDescent="0.15">
      <c r="C118" s="3" t="s">
        <v>82</v>
      </c>
      <c r="D118" s="58">
        <v>30</v>
      </c>
      <c r="E118" s="2" t="s">
        <v>57</v>
      </c>
      <c r="H118" s="6"/>
      <c r="I118" s="6"/>
      <c r="K118" s="24"/>
    </row>
    <row r="119" spans="3:11" ht="13.5" customHeight="1" x14ac:dyDescent="0.15">
      <c r="D119" s="3"/>
      <c r="E119" s="28"/>
      <c r="H119" s="6"/>
      <c r="I119" s="6"/>
      <c r="K119" s="24"/>
    </row>
    <row r="120" spans="3:11" ht="13.5" customHeight="1" x14ac:dyDescent="0.15">
      <c r="C120" s="3" t="s">
        <v>81</v>
      </c>
      <c r="D120" s="2" t="str">
        <f>" tan ( 45 + "&amp;FIXED(D118,0)&amp;"/2 ）＝"</f>
        <v xml:space="preserve"> tan ( 45 + 30/2 ）＝</v>
      </c>
      <c r="F120" s="29">
        <f>(TAN((45+D118/2)*PI()/180))^2</f>
        <v>2.9999999999999982</v>
      </c>
      <c r="H120" s="6"/>
      <c r="I120" s="6"/>
      <c r="K120" s="24"/>
    </row>
    <row r="121" spans="3:11" ht="13.5" customHeight="1" x14ac:dyDescent="0.15">
      <c r="H121" s="6"/>
      <c r="I121" s="6"/>
      <c r="K121" s="24"/>
    </row>
    <row r="122" spans="3:11" ht="13.5" customHeight="1" x14ac:dyDescent="0.2">
      <c r="C122" s="40" t="s">
        <v>84</v>
      </c>
      <c r="D122" s="41" t="s">
        <v>94</v>
      </c>
      <c r="F122" s="12"/>
      <c r="G122" s="15"/>
      <c r="H122" s="6"/>
      <c r="I122" s="25"/>
      <c r="K122" s="24"/>
    </row>
    <row r="123" spans="3:11" ht="13.5" customHeight="1" x14ac:dyDescent="0.15">
      <c r="C123" s="3"/>
      <c r="F123" s="12"/>
      <c r="G123" s="15"/>
      <c r="H123" s="6"/>
      <c r="I123" s="25"/>
      <c r="K123" s="24"/>
    </row>
    <row r="124" spans="3:11" ht="13.5" customHeight="1" x14ac:dyDescent="0.15">
      <c r="C124" s="3" t="s">
        <v>58</v>
      </c>
      <c r="D124" s="59">
        <v>19</v>
      </c>
      <c r="E124" s="2" t="s">
        <v>92</v>
      </c>
      <c r="F124" s="15"/>
      <c r="G124" s="60" t="s">
        <v>59</v>
      </c>
      <c r="H124" s="25"/>
      <c r="K124" s="24"/>
    </row>
    <row r="125" spans="3:11" ht="13.5" customHeight="1" x14ac:dyDescent="0.15">
      <c r="C125" s="3"/>
      <c r="D125" s="3"/>
      <c r="E125" s="30"/>
      <c r="G125" s="15"/>
      <c r="H125" s="31"/>
      <c r="I125" s="25"/>
      <c r="K125" s="24"/>
    </row>
    <row r="126" spans="3:11" ht="13.5" customHeight="1" x14ac:dyDescent="0.15">
      <c r="C126" s="40" t="s">
        <v>95</v>
      </c>
      <c r="D126" s="5" t="str">
        <f>"h3 + h4 = "&amp;FIXED(F58,3)&amp;" ＋ "&amp;FIXED(F59,3)&amp;" ＝ "&amp;FIXED(F58+F59,3)</f>
        <v>h3 + h4 = 0.150 ＋ 0.600 ＝ 0.750</v>
      </c>
      <c r="E126" s="30"/>
      <c r="G126" s="15"/>
      <c r="H126" s="31"/>
      <c r="I126" s="25"/>
      <c r="K126" s="24"/>
    </row>
    <row r="127" spans="3:11" ht="13.5" customHeight="1" x14ac:dyDescent="0.15">
      <c r="C127" s="3"/>
      <c r="D127" s="3"/>
      <c r="E127" s="30"/>
      <c r="G127" s="15"/>
      <c r="H127" s="31"/>
      <c r="I127" s="25"/>
      <c r="K127" s="24"/>
    </row>
    <row r="128" spans="3:11" ht="13.5" customHeight="1" x14ac:dyDescent="0.15">
      <c r="C128" s="3" t="s">
        <v>84</v>
      </c>
      <c r="D128" s="2" t="str">
        <f>"1/2 × "&amp;FIXED(F120,3)&amp;" × "&amp;FIXED(D124,0)&amp;" ×（ "&amp;FIXED(F59+F58,3)&amp;" ＋ "&amp;FIXED(F58,3)&amp;" ）× "&amp;FIXED(F59,3)</f>
        <v>1/2 × 3.000 × 19 ×（ 0.750 ＋ 0.150 ）× 0.600</v>
      </c>
      <c r="F128" s="12"/>
      <c r="G128" s="15"/>
      <c r="K128" s="24"/>
    </row>
    <row r="129" spans="3:11" ht="13.5" customHeight="1" x14ac:dyDescent="0.15">
      <c r="C129" s="3"/>
      <c r="F129" s="12"/>
      <c r="G129" s="15"/>
      <c r="H129" s="3" t="s">
        <v>60</v>
      </c>
      <c r="I129" s="23">
        <f>ROUND(1/2*F120*D124*(F59+F58+F58)*F59,2)</f>
        <v>15.39</v>
      </c>
      <c r="J129" s="2" t="s">
        <v>61</v>
      </c>
      <c r="K129" s="24"/>
    </row>
    <row r="130" spans="3:11" ht="13.5" customHeight="1" x14ac:dyDescent="0.15">
      <c r="C130" s="3"/>
      <c r="F130" s="12"/>
      <c r="G130" s="15"/>
      <c r="H130" s="3"/>
      <c r="I130" s="22"/>
      <c r="K130" s="24"/>
    </row>
    <row r="131" spans="3:11" ht="13.5" customHeight="1" x14ac:dyDescent="0.15">
      <c r="C131" s="5" t="s">
        <v>100</v>
      </c>
      <c r="F131" s="12"/>
      <c r="G131" s="15"/>
      <c r="H131" s="6"/>
      <c r="I131" s="25"/>
      <c r="K131" s="24"/>
    </row>
    <row r="132" spans="3:11" ht="13.5" customHeight="1" x14ac:dyDescent="0.15">
      <c r="C132" s="5"/>
      <c r="F132" s="12"/>
      <c r="G132" s="15"/>
      <c r="H132" s="6"/>
      <c r="I132" s="25"/>
      <c r="K132" s="24"/>
    </row>
    <row r="133" spans="3:11" ht="13.5" customHeight="1" x14ac:dyDescent="0.15">
      <c r="C133" s="3" t="s">
        <v>85</v>
      </c>
      <c r="D133" s="2" t="str">
        <f>"Ｐp × L ＝ "&amp;FIXED(I129,2)&amp;" × "&amp;FIXED(I60,3)</f>
        <v>Ｐp × L ＝ 15.39 × 1.200</v>
      </c>
      <c r="F133" s="12"/>
      <c r="G133" s="15"/>
      <c r="H133" s="3" t="s">
        <v>60</v>
      </c>
      <c r="I133" s="23">
        <f>ROUND(I129*I60,2)</f>
        <v>18.47</v>
      </c>
      <c r="J133" s="2" t="s">
        <v>62</v>
      </c>
      <c r="K133" s="24"/>
    </row>
    <row r="134" spans="3:11" ht="13.5" customHeight="1" x14ac:dyDescent="0.15">
      <c r="C134" s="3"/>
      <c r="F134" s="12"/>
      <c r="G134" s="15"/>
      <c r="H134" s="6"/>
      <c r="I134" s="25"/>
      <c r="K134" s="24"/>
    </row>
    <row r="135" spans="3:11" ht="13.5" customHeight="1" x14ac:dyDescent="0.15">
      <c r="C135" s="2" t="s">
        <v>101</v>
      </c>
      <c r="K135" s="24"/>
    </row>
    <row r="136" spans="3:11" ht="13.5" customHeight="1" x14ac:dyDescent="0.15">
      <c r="K136" s="24"/>
    </row>
    <row r="137" spans="3:11" ht="13.5" customHeight="1" x14ac:dyDescent="0.15">
      <c r="D137" s="32" t="s">
        <v>63</v>
      </c>
      <c r="E137" s="32" t="s">
        <v>64</v>
      </c>
      <c r="F137" s="32" t="s">
        <v>65</v>
      </c>
      <c r="G137" s="33" t="s">
        <v>66</v>
      </c>
      <c r="H137" s="32" t="s">
        <v>67</v>
      </c>
      <c r="K137" s="24"/>
    </row>
    <row r="138" spans="3:11" ht="13.5" customHeight="1" x14ac:dyDescent="0.15">
      <c r="D138" s="32" t="s">
        <v>86</v>
      </c>
      <c r="E138" s="35">
        <f>I59</f>
        <v>0.3</v>
      </c>
      <c r="F138" s="36">
        <f>ROUND(F61/2,3)</f>
        <v>0.25</v>
      </c>
      <c r="G138" s="36">
        <f>E138*F138</f>
        <v>7.4999999999999997E-2</v>
      </c>
      <c r="H138" s="32"/>
      <c r="K138" s="24"/>
    </row>
    <row r="139" spans="3:11" ht="13.5" customHeight="1" x14ac:dyDescent="0.15">
      <c r="D139" s="34" t="s">
        <v>68</v>
      </c>
      <c r="E139" s="35">
        <f>G90</f>
        <v>8.2799999999999994</v>
      </c>
      <c r="F139" s="36">
        <f>ROUND(F61/2,3)</f>
        <v>0.25</v>
      </c>
      <c r="G139" s="36">
        <f>E139*F139</f>
        <v>2.0699999999999998</v>
      </c>
      <c r="H139" s="37"/>
      <c r="K139" s="24"/>
    </row>
    <row r="140" spans="3:11" ht="13.5" customHeight="1" x14ac:dyDescent="0.15">
      <c r="D140" s="34" t="s">
        <v>69</v>
      </c>
      <c r="E140" s="35">
        <f>I133</f>
        <v>18.47</v>
      </c>
      <c r="F140" s="36">
        <f>ROUND((F58+F59)/3,3)</f>
        <v>0.25</v>
      </c>
      <c r="G140" s="36">
        <f>E140*F140</f>
        <v>4.6174999999999997</v>
      </c>
      <c r="H140" s="37"/>
      <c r="K140" s="24"/>
    </row>
    <row r="141" spans="3:11" ht="13.5" customHeight="1" x14ac:dyDescent="0.15">
      <c r="D141" s="32" t="s">
        <v>70</v>
      </c>
      <c r="E141" s="37"/>
      <c r="F141" s="37"/>
      <c r="G141" s="36">
        <f>SUM(G138:G140)</f>
        <v>6.7624999999999993</v>
      </c>
      <c r="H141" s="37"/>
      <c r="K141" s="24"/>
    </row>
    <row r="142" spans="3:11" ht="13.5" customHeight="1" x14ac:dyDescent="0.15">
      <c r="D142" s="2" t="s">
        <v>71</v>
      </c>
      <c r="K142" s="24"/>
    </row>
    <row r="143" spans="3:11" ht="13.5" customHeight="1" x14ac:dyDescent="0.15">
      <c r="K143" s="24"/>
    </row>
    <row r="144" spans="3:11" ht="13.5" customHeight="1" x14ac:dyDescent="0.15">
      <c r="F144" s="3" t="s">
        <v>72</v>
      </c>
      <c r="G144" s="16">
        <f>G141</f>
        <v>6.7624999999999993</v>
      </c>
      <c r="H144" s="2" t="s">
        <v>73</v>
      </c>
      <c r="K144" s="24"/>
    </row>
    <row r="145" spans="3:11" ht="13.5" customHeight="1" x14ac:dyDescent="0.15">
      <c r="K145" s="24"/>
    </row>
    <row r="146" spans="3:11" ht="13.5" customHeight="1" x14ac:dyDescent="0.15">
      <c r="C146" s="2" t="s">
        <v>102</v>
      </c>
      <c r="K146" s="24"/>
    </row>
    <row r="147" spans="3:11" ht="13.5" customHeight="1" x14ac:dyDescent="0.15">
      <c r="K147" s="24"/>
    </row>
    <row r="148" spans="3:11" ht="13.5" customHeight="1" x14ac:dyDescent="0.15">
      <c r="C148" s="3" t="s">
        <v>74</v>
      </c>
      <c r="D148" s="2" t="str">
        <f>"Ｍr － ＭM ＝ "&amp;FIXED(G144,3)&amp;" － "&amp;FIXED(G83,3)</f>
        <v>Ｍr － ＭM ＝ 6.763 － 5.160</v>
      </c>
      <c r="K148" s="24"/>
    </row>
    <row r="149" spans="3:11" ht="13.5" customHeight="1" x14ac:dyDescent="0.15">
      <c r="C149" s="3"/>
      <c r="E149" s="3" t="s">
        <v>7</v>
      </c>
      <c r="F149" s="38">
        <f>G144-G83</f>
        <v>1.6024999999999991</v>
      </c>
      <c r="G149" s="2" t="s">
        <v>73</v>
      </c>
      <c r="I149" s="38"/>
      <c r="K149" s="24"/>
    </row>
    <row r="150" spans="3:11" ht="13.5" customHeight="1" x14ac:dyDescent="0.15">
      <c r="C150" s="3"/>
      <c r="H150" s="3"/>
      <c r="I150" s="38"/>
      <c r="K150" s="24"/>
    </row>
    <row r="151" spans="3:11" ht="13.5" customHeight="1" x14ac:dyDescent="0.15">
      <c r="C151" s="3" t="s">
        <v>75</v>
      </c>
      <c r="D151" s="2" t="s">
        <v>105</v>
      </c>
      <c r="E151" s="2" t="str">
        <f>"Ｖ＝ｗf＋ｗd＝"&amp;FIXED(E139,2)&amp;"＋"&amp;FIXED(E138,2)</f>
        <v>Ｖ＝ｗf＋ｗd＝8.28＋0.30</v>
      </c>
      <c r="F151" s="39"/>
      <c r="G151" s="16"/>
      <c r="H151" s="3"/>
      <c r="I151" s="38"/>
      <c r="K151" s="24"/>
    </row>
    <row r="152" spans="3:11" ht="13.5" customHeight="1" x14ac:dyDescent="0.15">
      <c r="C152" s="3"/>
      <c r="E152" s="3" t="s">
        <v>7</v>
      </c>
      <c r="F152" s="38">
        <f>ROUND(E139+E138,2)</f>
        <v>8.58</v>
      </c>
      <c r="G152" s="2" t="s">
        <v>62</v>
      </c>
      <c r="H152" s="3"/>
      <c r="I152" s="38"/>
      <c r="K152" s="24"/>
    </row>
    <row r="153" spans="3:11" ht="13.5" customHeight="1" x14ac:dyDescent="0.15">
      <c r="C153" s="3"/>
      <c r="E153" s="3"/>
      <c r="F153" s="38"/>
      <c r="H153" s="3"/>
      <c r="I153" s="38"/>
      <c r="K153" s="24"/>
    </row>
    <row r="154" spans="3:11" ht="13.5" customHeight="1" x14ac:dyDescent="0.15">
      <c r="C154" s="3" t="s">
        <v>75</v>
      </c>
      <c r="D154" s="2" t="str">
        <f>FIXED(F149,3)&amp;"  ／  "&amp;FIXED(F152,2)&amp;"　　＝"</f>
        <v>1.603  ／  8.58　　＝</v>
      </c>
      <c r="F154" s="38">
        <f>ROUND(F149/F152,3)</f>
        <v>0.187</v>
      </c>
      <c r="G154" s="2" t="s">
        <v>76</v>
      </c>
      <c r="H154" s="3"/>
      <c r="I154" s="38"/>
      <c r="K154" s="24"/>
    </row>
    <row r="155" spans="3:11" ht="13.5" customHeight="1" x14ac:dyDescent="0.15">
      <c r="H155" s="3"/>
      <c r="I155" s="38"/>
      <c r="K155" s="24"/>
    </row>
    <row r="156" spans="3:11" ht="13.5" customHeight="1" x14ac:dyDescent="0.15">
      <c r="C156" s="2" t="s">
        <v>97</v>
      </c>
      <c r="K156" s="24"/>
    </row>
    <row r="157" spans="3:11" ht="13.5" customHeight="1" x14ac:dyDescent="0.15">
      <c r="K157" s="24"/>
    </row>
    <row r="158" spans="3:11" ht="13.5" customHeight="1" x14ac:dyDescent="0.15">
      <c r="D158" s="2" t="str">
        <f>"B ／ 6 ＝ "&amp;FIXED(F61,3)&amp;" ／ 6 = "&amp;FIXED(F61/6,3)&amp;" m"</f>
        <v>B ／ 6 ＝ 0.500 ／ 6 = 0.083 m</v>
      </c>
      <c r="K158" s="24"/>
    </row>
    <row r="159" spans="3:11" ht="13.5" customHeight="1" x14ac:dyDescent="0.15">
      <c r="K159" s="24"/>
    </row>
    <row r="160" spans="3:11" ht="13.5" customHeight="1" x14ac:dyDescent="0.15">
      <c r="C160" s="3" t="s">
        <v>75</v>
      </c>
      <c r="D160" s="2" t="str">
        <f>FIXED(F154,3)&amp;IF(F154&gt;F61/6," ＞ "," ＜ ")&amp;"B／6 ＝ "&amp;FIXED(F61/6,3)</f>
        <v>0.187 ＞ B／6 ＝ 0.083</v>
      </c>
      <c r="G160" s="6" t="str">
        <f>IF(F154&gt;F61/6,"ＯＫ！","ＮＯ！")</f>
        <v>ＯＫ！</v>
      </c>
      <c r="K160" s="24"/>
    </row>
    <row r="161" spans="3:15" ht="13.5" customHeight="1" x14ac:dyDescent="0.15">
      <c r="K161" s="24"/>
    </row>
    <row r="162" spans="3:15" ht="13.5" customHeight="1" x14ac:dyDescent="0.15">
      <c r="C162" s="2" t="s">
        <v>103</v>
      </c>
      <c r="D162" s="3"/>
      <c r="E162" s="14"/>
      <c r="G162" s="13"/>
    </row>
    <row r="163" spans="3:15" ht="13.5" customHeight="1" x14ac:dyDescent="0.15">
      <c r="D163" s="3"/>
      <c r="E163" s="14"/>
      <c r="G163" s="13"/>
    </row>
    <row r="164" spans="3:15" ht="13.5" customHeight="1" x14ac:dyDescent="0.15">
      <c r="C164" s="3" t="s">
        <v>104</v>
      </c>
      <c r="D164" s="5" t="s">
        <v>124</v>
      </c>
      <c r="E164" s="14"/>
      <c r="G164" s="47" t="s">
        <v>113</v>
      </c>
    </row>
    <row r="165" spans="3:15" ht="13.5" customHeight="1" x14ac:dyDescent="0.15">
      <c r="C165" s="3" t="s">
        <v>104</v>
      </c>
      <c r="D165" s="5" t="s">
        <v>125</v>
      </c>
      <c r="E165" s="14"/>
      <c r="G165" s="47" t="s">
        <v>114</v>
      </c>
    </row>
    <row r="166" spans="3:15" ht="13.5" customHeight="1" x14ac:dyDescent="0.15">
      <c r="C166" s="3"/>
      <c r="D166" s="5"/>
      <c r="E166" s="14"/>
      <c r="G166" s="47"/>
      <c r="L166" s="48" t="s">
        <v>119</v>
      </c>
      <c r="M166" s="50">
        <f>F154</f>
        <v>0.187</v>
      </c>
    </row>
    <row r="167" spans="3:15" ht="13.5" customHeight="1" x14ac:dyDescent="0.15">
      <c r="C167" s="3"/>
      <c r="D167" s="3" t="str" cm="1">
        <f t="array" ref="D167">_xlfn.IFS($O$170="〇","B/6 = "&amp;FIXED($M$168,3)&amp;" &lt;",$O$169="〇","B/3 = "&amp;FIXED($M$167,3)&amp;" &lt;",AND($O$170="",$O$169=""),"－－－")</f>
        <v>B/3 = 0.167 &lt;</v>
      </c>
      <c r="E167" s="14" t="str">
        <f>"x1= "&amp;FIXED(F154,3)</f>
        <v>x1= 0.187</v>
      </c>
      <c r="F167" s="5" t="str" cm="1">
        <f t="array" ref="F167">_xlfn.IFS(O170="〇"," &lt; B/3 = "&amp;FIXED(M167,3),O169="〇"," &lt; 2×B/3 = "&amp;FIXED(2*M167,3),AND(O170="",O169=""),"－－－")</f>
        <v xml:space="preserve"> &lt; 2×B/3 = 0.333</v>
      </c>
      <c r="G167" s="47"/>
      <c r="L167" s="48" t="s">
        <v>115</v>
      </c>
      <c r="M167" s="51">
        <f>F61/3</f>
        <v>0.16666666666666666</v>
      </c>
      <c r="N167" s="18"/>
    </row>
    <row r="168" spans="3:15" ht="13.5" customHeight="1" x14ac:dyDescent="0.15">
      <c r="D168" s="3"/>
      <c r="E168" s="14"/>
      <c r="G168" s="13"/>
      <c r="L168" s="48" t="s">
        <v>116</v>
      </c>
      <c r="M168" s="51">
        <f>F61/6</f>
        <v>8.3333333333333329E-2</v>
      </c>
      <c r="N168" s="18"/>
    </row>
    <row r="169" spans="3:15" ht="13.5" customHeight="1" x14ac:dyDescent="0.15">
      <c r="C169" s="3" t="s">
        <v>106</v>
      </c>
      <c r="D169" s="45" t="s">
        <v>108</v>
      </c>
      <c r="G169" s="13"/>
      <c r="L169" s="18" t="s">
        <v>117</v>
      </c>
      <c r="M169" s="18"/>
      <c r="N169" s="18"/>
      <c r="O169" s="52" t="str">
        <f>IF(AND($M$167&lt;$M$166,2*$M$167&gt;$M$166),"〇","")</f>
        <v>〇</v>
      </c>
    </row>
    <row r="170" spans="3:15" ht="13.5" customHeight="1" x14ac:dyDescent="0.15">
      <c r="C170" s="3" t="s">
        <v>126</v>
      </c>
      <c r="D170" s="45" t="s">
        <v>127</v>
      </c>
      <c r="G170" s="13"/>
      <c r="L170" s="49" t="s">
        <v>118</v>
      </c>
      <c r="M170" s="18"/>
      <c r="N170" s="18"/>
      <c r="O170" s="52" t="str">
        <f>IF(AND($M$168&lt;$M$166,$M$167&gt;$M$166),"〇","")</f>
        <v/>
      </c>
    </row>
    <row r="171" spans="3:15" ht="13.5" customHeight="1" x14ac:dyDescent="0.15">
      <c r="C171" s="3" t="s">
        <v>107</v>
      </c>
      <c r="D171" s="45" t="s">
        <v>109</v>
      </c>
      <c r="G171" s="13"/>
    </row>
    <row r="172" spans="3:15" ht="13.5" customHeight="1" x14ac:dyDescent="0.15">
      <c r="D172" s="3"/>
      <c r="E172" s="14"/>
      <c r="G172" s="13"/>
      <c r="L172" s="3" t="s">
        <v>132</v>
      </c>
      <c r="M172" s="54" cm="1">
        <f t="array" ref="M172">_xlfn.IFS(O170="〇",I179,O169="〇",I183)</f>
        <v>25.11</v>
      </c>
      <c r="N172" s="2" t="s">
        <v>31</v>
      </c>
    </row>
    <row r="173" spans="3:15" ht="13.5" customHeight="1" x14ac:dyDescent="0.15">
      <c r="C173" s="3" t="s">
        <v>110</v>
      </c>
      <c r="D173" s="5" t="str">
        <f>"Ｂ／2 － x1 ＝ "&amp;FIXED(F61,3)&amp;" ／ 2 － "&amp;FIXED(F154,3)</f>
        <v>Ｂ／2 － x1 ＝ 0.500 ／ 2 － 0.187</v>
      </c>
      <c r="E173" s="14"/>
      <c r="G173" s="13"/>
    </row>
    <row r="174" spans="3:15" ht="13.5" customHeight="1" x14ac:dyDescent="0.15">
      <c r="D174" s="3"/>
      <c r="E174" s="14"/>
      <c r="G174" s="46">
        <f>ROUND(F61/2-F154,3)</f>
        <v>6.3E-2</v>
      </c>
      <c r="H174" s="2" t="s">
        <v>111</v>
      </c>
      <c r="L174" s="53" t="s">
        <v>140</v>
      </c>
    </row>
    <row r="175" spans="3:15" ht="13.5" customHeight="1" x14ac:dyDescent="0.15">
      <c r="D175" s="3"/>
      <c r="E175" s="14"/>
      <c r="G175" s="46"/>
    </row>
    <row r="176" spans="3:15" ht="13.5" customHeight="1" x14ac:dyDescent="0.15">
      <c r="C176" s="3" t="s">
        <v>128</v>
      </c>
      <c r="D176" s="5" t="str">
        <f>"Ｖ ／ L ＝ "&amp;FIXED(F152,3)&amp;" ／ "&amp;FIXED(I60,2)</f>
        <v>Ｖ ／ L ＝ 8.580 ／ 1.20</v>
      </c>
      <c r="E176" s="14"/>
      <c r="G176" s="46">
        <f>ROUND(F152/I60,3)</f>
        <v>7.15</v>
      </c>
      <c r="H176" s="2" t="s">
        <v>131</v>
      </c>
    </row>
    <row r="177" spans="3:10" ht="13.5" customHeight="1" x14ac:dyDescent="0.15">
      <c r="D177" s="3"/>
      <c r="E177" s="14"/>
      <c r="G177" s="13"/>
    </row>
    <row r="178" spans="3:10" ht="13.5" customHeight="1" x14ac:dyDescent="0.15">
      <c r="C178" s="3" t="s">
        <v>123</v>
      </c>
      <c r="D178" s="5" t="s">
        <v>125</v>
      </c>
      <c r="E178" s="14"/>
      <c r="G178" s="13"/>
    </row>
    <row r="179" spans="3:10" ht="13.5" customHeight="1" x14ac:dyDescent="0.15">
      <c r="C179" s="3" t="s">
        <v>120</v>
      </c>
      <c r="D179" s="5" t="str">
        <f>"（2×"&amp;FIXED(G176,3)&amp;"）／（3×"&amp;FIXED(M166,3)&amp;"）"</f>
        <v>（2×7.150）／（3×0.187）</v>
      </c>
      <c r="E179" s="14"/>
      <c r="G179" s="13"/>
      <c r="H179" s="3" t="s">
        <v>112</v>
      </c>
      <c r="I179" s="42">
        <f>ROUND(2*G176/(3*M166),2)</f>
        <v>25.49</v>
      </c>
      <c r="J179" s="2" t="s">
        <v>31</v>
      </c>
    </row>
    <row r="180" spans="3:10" ht="13.5" customHeight="1" x14ac:dyDescent="0.15">
      <c r="D180" s="3"/>
      <c r="E180" s="14"/>
      <c r="G180" s="13"/>
    </row>
    <row r="181" spans="3:10" ht="13.5" customHeight="1" x14ac:dyDescent="0.15">
      <c r="C181" s="3" t="s">
        <v>121</v>
      </c>
      <c r="D181" s="5" t="s">
        <v>129</v>
      </c>
      <c r="E181" s="14"/>
      <c r="G181" s="13"/>
    </row>
    <row r="182" spans="3:10" ht="13.5" customHeight="1" x14ac:dyDescent="0.15">
      <c r="C182" s="3" t="s">
        <v>112</v>
      </c>
      <c r="D182" s="5" t="str">
        <f>FIXED(G176,3)&amp;" ／ "&amp;FIXED(F61,3)&amp;" ×｛ 1 ＋（ 6 × "&amp;FIXED(G174,3)&amp;" ） ／ "&amp;FIXED(F61,3)&amp;" ｝"</f>
        <v>7.150 ／ 0.500 ×｛ 1 ＋（ 6 × 0.063 ） ／ 0.500 ｝</v>
      </c>
      <c r="E182" s="14"/>
      <c r="G182" s="13"/>
    </row>
    <row r="183" spans="3:10" ht="13.5" customHeight="1" x14ac:dyDescent="0.15">
      <c r="D183" s="3"/>
      <c r="E183" s="14"/>
      <c r="G183" s="13"/>
      <c r="H183" s="3" t="s">
        <v>112</v>
      </c>
      <c r="I183" s="42">
        <f>ROUND(G176/F61*(1+(6*G174)/F61),2)</f>
        <v>25.11</v>
      </c>
      <c r="J183" s="2" t="s">
        <v>31</v>
      </c>
    </row>
    <row r="184" spans="3:10" ht="13.5" customHeight="1" x14ac:dyDescent="0.15">
      <c r="D184" s="3"/>
      <c r="E184" s="14"/>
      <c r="G184" s="13"/>
    </row>
    <row r="185" spans="3:10" ht="13.5" customHeight="1" x14ac:dyDescent="0.15">
      <c r="C185" s="3" t="s">
        <v>122</v>
      </c>
      <c r="D185" s="5" t="s">
        <v>130</v>
      </c>
      <c r="E185" s="14"/>
      <c r="G185" s="13"/>
    </row>
    <row r="186" spans="3:10" ht="13.5" customHeight="1" x14ac:dyDescent="0.15">
      <c r="C186" s="3" t="s">
        <v>112</v>
      </c>
      <c r="D186" s="5" t="str">
        <f>FIXED(G176,3)&amp;" ／ "&amp;FIXED(F61,3)&amp;" ×｛ 1 －（ 6 × "&amp;FIXED(G174,3)&amp;" ） ／ "&amp;FIXED(F61,3)&amp;" ｝"</f>
        <v>7.150 ／ 0.500 ×｛ 1 －（ 6 × 0.063 ） ／ 0.500 ｝</v>
      </c>
      <c r="E186" s="14"/>
      <c r="G186" s="13"/>
    </row>
    <row r="187" spans="3:10" ht="13.5" customHeight="1" x14ac:dyDescent="0.15">
      <c r="D187" s="3"/>
      <c r="E187" s="14"/>
      <c r="G187" s="13"/>
      <c r="H187" s="3" t="s">
        <v>112</v>
      </c>
      <c r="I187" s="42">
        <f>ROUND(G176/F61*(1-(6*G174)/F61),2)</f>
        <v>3.49</v>
      </c>
      <c r="J187" s="2" t="s">
        <v>31</v>
      </c>
    </row>
    <row r="188" spans="3:10" ht="13.5" customHeight="1" x14ac:dyDescent="0.15">
      <c r="D188" s="3"/>
      <c r="E188" s="14"/>
      <c r="G188" s="13"/>
    </row>
    <row r="189" spans="3:10" ht="13.5" customHeight="1" x14ac:dyDescent="0.15">
      <c r="C189" s="2" t="s">
        <v>135</v>
      </c>
      <c r="D189" s="3"/>
      <c r="F189" s="22">
        <f>M172</f>
        <v>25.11</v>
      </c>
      <c r="G189" s="2" t="s">
        <v>134</v>
      </c>
    </row>
    <row r="190" spans="3:10" ht="13.5" customHeight="1" x14ac:dyDescent="0.15">
      <c r="D190" s="3"/>
      <c r="E190" s="22"/>
      <c r="G190" s="3" t="s">
        <v>136</v>
      </c>
      <c r="H190" s="61">
        <v>200</v>
      </c>
      <c r="I190" s="2" t="s">
        <v>137</v>
      </c>
    </row>
    <row r="191" spans="3:10" ht="13.5" customHeight="1" x14ac:dyDescent="0.15">
      <c r="D191" s="3"/>
      <c r="E191" s="14"/>
      <c r="H191" s="62" t="s">
        <v>133</v>
      </c>
    </row>
    <row r="192" spans="3:10" ht="13.5" customHeight="1" x14ac:dyDescent="0.15">
      <c r="D192" s="3"/>
      <c r="E192" s="14"/>
      <c r="G192" s="13"/>
      <c r="H192" s="11"/>
    </row>
    <row r="193" spans="4:8" ht="13.5" customHeight="1" x14ac:dyDescent="0.15">
      <c r="D193" s="3"/>
      <c r="E193" s="14"/>
      <c r="G193" s="13"/>
      <c r="H193" s="11"/>
    </row>
    <row r="194" spans="4:8" ht="13.5" customHeight="1" x14ac:dyDescent="0.15">
      <c r="D194" s="3"/>
      <c r="E194" s="14"/>
      <c r="G194" s="13"/>
      <c r="H194" s="11"/>
    </row>
    <row r="195" spans="4:8" ht="13.5" customHeight="1" x14ac:dyDescent="0.15">
      <c r="D195" s="3"/>
      <c r="E195" s="14"/>
      <c r="G195" s="13"/>
      <c r="H195" s="11"/>
    </row>
    <row r="196" spans="4:8" ht="13.5" customHeight="1" x14ac:dyDescent="0.15">
      <c r="D196" s="3"/>
      <c r="E196" s="14"/>
      <c r="G196" s="13"/>
      <c r="H196" s="11"/>
    </row>
    <row r="197" spans="4:8" ht="13.5" customHeight="1" x14ac:dyDescent="0.15">
      <c r="D197" s="3"/>
      <c r="E197" s="14"/>
      <c r="G197" s="13"/>
      <c r="H197" s="11"/>
    </row>
    <row r="198" spans="4:8" ht="13.5" customHeight="1" x14ac:dyDescent="0.15">
      <c r="D198" s="3"/>
      <c r="E198" s="14"/>
      <c r="G198" s="13"/>
      <c r="H198" s="11"/>
    </row>
    <row r="199" spans="4:8" ht="13.5" customHeight="1" x14ac:dyDescent="0.15">
      <c r="D199" s="3"/>
      <c r="E199" s="14"/>
      <c r="G199" s="13"/>
      <c r="H199" s="11"/>
    </row>
    <row r="200" spans="4:8" ht="13.5" customHeight="1" x14ac:dyDescent="0.15">
      <c r="D200" s="3"/>
      <c r="E200" s="14"/>
      <c r="G200" s="13"/>
      <c r="H200" s="11"/>
    </row>
    <row r="201" spans="4:8" ht="13.5" customHeight="1" x14ac:dyDescent="0.15">
      <c r="D201" s="3"/>
      <c r="E201" s="14"/>
      <c r="G201" s="13"/>
      <c r="H201" s="11"/>
    </row>
    <row r="202" spans="4:8" ht="13.5" customHeight="1" x14ac:dyDescent="0.15">
      <c r="D202" s="3"/>
      <c r="E202" s="14"/>
      <c r="G202" s="13"/>
      <c r="H202" s="11"/>
    </row>
    <row r="203" spans="4:8" ht="13.5" customHeight="1" x14ac:dyDescent="0.15">
      <c r="D203" s="3"/>
      <c r="E203" s="14"/>
      <c r="G203" s="13"/>
      <c r="H203" s="11"/>
    </row>
    <row r="204" spans="4:8" ht="13.5" customHeight="1" x14ac:dyDescent="0.15">
      <c r="D204" s="3"/>
      <c r="E204" s="14"/>
      <c r="G204" s="13"/>
      <c r="H204" s="11"/>
    </row>
    <row r="205" spans="4:8" ht="13.5" customHeight="1" x14ac:dyDescent="0.15">
      <c r="D205" s="3"/>
      <c r="E205" s="14"/>
      <c r="G205" s="13"/>
      <c r="H205" s="11"/>
    </row>
    <row r="206" spans="4:8" ht="13.5" customHeight="1" x14ac:dyDescent="0.15">
      <c r="D206" s="3"/>
      <c r="E206" s="14"/>
      <c r="G206" s="13"/>
      <c r="H206" s="11"/>
    </row>
    <row r="207" spans="4:8" ht="13.5" customHeight="1" x14ac:dyDescent="0.15">
      <c r="D207" s="3"/>
      <c r="E207" s="14"/>
      <c r="G207" s="13"/>
      <c r="H207" s="11"/>
    </row>
    <row r="208" spans="4:8" ht="13.5" customHeight="1" x14ac:dyDescent="0.15">
      <c r="D208" s="3"/>
      <c r="E208" s="14"/>
      <c r="G208" s="13"/>
      <c r="H208" s="11"/>
    </row>
    <row r="209" spans="4:8" ht="13.5" customHeight="1" x14ac:dyDescent="0.15">
      <c r="D209" s="3"/>
      <c r="E209" s="14"/>
      <c r="G209" s="13"/>
      <c r="H209" s="11"/>
    </row>
    <row r="210" spans="4:8" ht="13.5" customHeight="1" x14ac:dyDescent="0.15">
      <c r="D210" s="3"/>
      <c r="E210" s="14"/>
      <c r="G210" s="13"/>
      <c r="H210" s="11"/>
    </row>
    <row r="211" spans="4:8" ht="13.5" customHeight="1" x14ac:dyDescent="0.15">
      <c r="D211" s="3"/>
      <c r="E211" s="14"/>
      <c r="G211" s="13"/>
      <c r="H211" s="11"/>
    </row>
    <row r="212" spans="4:8" ht="13.5" customHeight="1" x14ac:dyDescent="0.15">
      <c r="D212" s="3"/>
      <c r="E212" s="14"/>
      <c r="G212" s="13"/>
      <c r="H212" s="11"/>
    </row>
    <row r="213" spans="4:8" ht="13.5" customHeight="1" x14ac:dyDescent="0.15">
      <c r="D213" s="3"/>
      <c r="E213" s="14"/>
      <c r="G213" s="13"/>
      <c r="H213" s="11"/>
    </row>
    <row r="214" spans="4:8" ht="13.5" customHeight="1" x14ac:dyDescent="0.15">
      <c r="D214" s="3"/>
      <c r="E214" s="14"/>
      <c r="G214" s="13"/>
      <c r="H214" s="11"/>
    </row>
    <row r="215" spans="4:8" ht="13.5" customHeight="1" x14ac:dyDescent="0.15">
      <c r="D215" s="3"/>
      <c r="E215" s="14"/>
      <c r="G215" s="13"/>
      <c r="H215" s="11"/>
    </row>
    <row r="216" spans="4:8" ht="13.5" customHeight="1" x14ac:dyDescent="0.15">
      <c r="D216" s="3"/>
      <c r="E216" s="14"/>
      <c r="G216" s="13"/>
      <c r="H216" s="11"/>
    </row>
    <row r="217" spans="4:8" ht="13.5" customHeight="1" x14ac:dyDescent="0.15">
      <c r="D217" s="3"/>
      <c r="E217" s="14"/>
      <c r="G217" s="13"/>
      <c r="H217" s="11"/>
    </row>
    <row r="218" spans="4:8" ht="13.5" customHeight="1" x14ac:dyDescent="0.15">
      <c r="D218" s="3"/>
      <c r="E218" s="14"/>
      <c r="G218" s="13"/>
      <c r="H218" s="11"/>
    </row>
    <row r="219" spans="4:8" ht="13.5" customHeight="1" x14ac:dyDescent="0.15">
      <c r="D219" s="3"/>
      <c r="E219" s="14"/>
      <c r="G219" s="13"/>
      <c r="H219" s="11"/>
    </row>
    <row r="220" spans="4:8" ht="13.5" customHeight="1" x14ac:dyDescent="0.15">
      <c r="D220" s="3"/>
      <c r="E220" s="14"/>
      <c r="G220" s="13"/>
      <c r="H220" s="11"/>
    </row>
    <row r="221" spans="4:8" ht="13.5" customHeight="1" x14ac:dyDescent="0.15">
      <c r="D221" s="3"/>
      <c r="E221" s="14"/>
      <c r="G221" s="13"/>
      <c r="H221" s="11"/>
    </row>
    <row r="222" spans="4:8" ht="13.5" customHeight="1" x14ac:dyDescent="0.15">
      <c r="D222" s="3"/>
      <c r="E222" s="14"/>
      <c r="G222" s="13"/>
      <c r="H222" s="11"/>
    </row>
    <row r="223" spans="4:8" ht="13.5" customHeight="1" x14ac:dyDescent="0.15">
      <c r="D223" s="3"/>
      <c r="E223" s="14"/>
      <c r="G223" s="13"/>
      <c r="H223" s="11"/>
    </row>
    <row r="224" spans="4:8" ht="13.5" customHeight="1" x14ac:dyDescent="0.15">
      <c r="D224" s="3"/>
      <c r="E224" s="14"/>
      <c r="G224" s="13"/>
      <c r="H224" s="11"/>
    </row>
    <row r="225" spans="4:8" ht="13.5" customHeight="1" x14ac:dyDescent="0.15">
      <c r="D225" s="3"/>
      <c r="E225" s="14"/>
      <c r="G225" s="13"/>
      <c r="H225" s="11"/>
    </row>
    <row r="226" spans="4:8" ht="13.5" customHeight="1" x14ac:dyDescent="0.15">
      <c r="D226" s="3"/>
      <c r="E226" s="14"/>
      <c r="G226" s="13"/>
      <c r="H226" s="11"/>
    </row>
    <row r="227" spans="4:8" ht="13.5" customHeight="1" x14ac:dyDescent="0.15">
      <c r="D227" s="3"/>
      <c r="E227" s="14"/>
      <c r="G227" s="13"/>
      <c r="H227" s="11"/>
    </row>
    <row r="228" spans="4:8" ht="13.5" customHeight="1" x14ac:dyDescent="0.15">
      <c r="D228" s="3"/>
      <c r="E228" s="14"/>
      <c r="G228" s="13"/>
      <c r="H228" s="11"/>
    </row>
    <row r="229" spans="4:8" ht="13.5" customHeight="1" x14ac:dyDescent="0.15">
      <c r="D229" s="3"/>
      <c r="E229" s="14"/>
      <c r="G229" s="13"/>
      <c r="H229" s="11"/>
    </row>
    <row r="230" spans="4:8" ht="13.5" customHeight="1" x14ac:dyDescent="0.15">
      <c r="D230" s="3"/>
      <c r="E230" s="14"/>
      <c r="G230" s="13"/>
      <c r="H230" s="11"/>
    </row>
    <row r="231" spans="4:8" ht="13.5" customHeight="1" x14ac:dyDescent="0.15">
      <c r="D231" s="3"/>
      <c r="E231" s="14"/>
      <c r="G231" s="13"/>
      <c r="H231" s="11"/>
    </row>
    <row r="232" spans="4:8" ht="13.5" customHeight="1" x14ac:dyDescent="0.15">
      <c r="D232" s="3"/>
      <c r="E232" s="14"/>
      <c r="G232" s="13"/>
      <c r="H232" s="11"/>
    </row>
    <row r="233" spans="4:8" ht="13.5" customHeight="1" x14ac:dyDescent="0.15">
      <c r="D233" s="3"/>
      <c r="E233" s="14"/>
      <c r="G233" s="13"/>
      <c r="H233" s="11"/>
    </row>
    <row r="234" spans="4:8" ht="13.5" customHeight="1" x14ac:dyDescent="0.15">
      <c r="D234" s="3"/>
      <c r="E234" s="14"/>
      <c r="G234" s="13"/>
      <c r="H234" s="11"/>
    </row>
    <row r="235" spans="4:8" ht="13.5" customHeight="1" x14ac:dyDescent="0.15">
      <c r="D235" s="3"/>
      <c r="E235" s="14"/>
      <c r="G235" s="13"/>
      <c r="H235" s="11"/>
    </row>
    <row r="236" spans="4:8" ht="13.5" customHeight="1" x14ac:dyDescent="0.15">
      <c r="D236" s="3"/>
      <c r="E236" s="14"/>
      <c r="G236" s="13"/>
      <c r="H236" s="11"/>
    </row>
    <row r="237" spans="4:8" ht="13.5" customHeight="1" x14ac:dyDescent="0.15">
      <c r="D237" s="3"/>
      <c r="E237" s="14"/>
      <c r="G237" s="13"/>
      <c r="H237" s="11"/>
    </row>
    <row r="238" spans="4:8" ht="13.5" customHeight="1" x14ac:dyDescent="0.15">
      <c r="D238" s="3"/>
      <c r="E238" s="14"/>
      <c r="G238" s="13"/>
      <c r="H238" s="11"/>
    </row>
    <row r="239" spans="4:8" ht="13.5" customHeight="1" x14ac:dyDescent="0.15">
      <c r="D239" s="3"/>
      <c r="E239" s="14"/>
      <c r="G239" s="13"/>
      <c r="H239" s="11"/>
    </row>
    <row r="240" spans="4:8" ht="13.5" customHeight="1" x14ac:dyDescent="0.15">
      <c r="D240" s="3"/>
      <c r="E240" s="14"/>
      <c r="G240" s="13"/>
      <c r="H240" s="11"/>
    </row>
    <row r="241" spans="4:8" ht="13.5" customHeight="1" x14ac:dyDescent="0.15">
      <c r="D241" s="3"/>
      <c r="E241" s="14"/>
      <c r="G241" s="13"/>
      <c r="H241" s="11"/>
    </row>
    <row r="242" spans="4:8" ht="13.5" customHeight="1" x14ac:dyDescent="0.15">
      <c r="D242" s="3"/>
      <c r="E242" s="14"/>
      <c r="G242" s="13"/>
      <c r="H242" s="11"/>
    </row>
    <row r="243" spans="4:8" ht="13.5" customHeight="1" x14ac:dyDescent="0.15">
      <c r="D243" s="3"/>
      <c r="E243" s="14"/>
      <c r="G243" s="13"/>
      <c r="H243" s="11"/>
    </row>
  </sheetData>
  <sheetProtection algorithmName="SHA-512" hashValue="lGo4aVGVsZ6PkYbJJIV2D4dY/CL7U4HQuSC5v++xL4pMVWzmN6xi1HKnAaZM7BJy7Dw7fs9TF5jRYUdWCKij/w==" saltValue="cMKlH1va130QuqABTk4e6A==" spinCount="100000" sheet="1" objects="1" scenarios="1"/>
  <phoneticPr fontId="1"/>
  <conditionalFormatting sqref="C177:J179">
    <cfRule type="expression" dxfId="2" priority="3">
      <formula>$O$169="〇"</formula>
    </cfRule>
  </conditionalFormatting>
  <conditionalFormatting sqref="C181:J187">
    <cfRule type="expression" dxfId="1" priority="4">
      <formula>$O$170="〇"</formula>
    </cfRule>
  </conditionalFormatting>
  <conditionalFormatting sqref="G160">
    <cfRule type="expression" dxfId="0" priority="5">
      <formula>$G$160="ＮＯ！"</formula>
    </cfRule>
  </conditionalFormatting>
  <printOptions gridLinesSet="0"/>
  <pageMargins left="0.75" right="0.27" top="0.61" bottom="0.52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5C18-7DCD-46BE-AAF3-B957394FCDC9}">
  <dimension ref="A1"/>
  <sheetViews>
    <sheetView workbookViewId="0">
      <selection activeCell="B1" sqref="B1"/>
    </sheetView>
  </sheetViews>
  <sheetFormatPr defaultRowHeight="13.5" x14ac:dyDescent="0.15"/>
  <sheetData>
    <row r="1" spans="1:1" x14ac:dyDescent="0.15">
      <c r="A1" t="s">
        <v>141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案内看板</vt:lpstr>
      <vt:lpstr>編集時</vt:lpstr>
      <vt:lpstr>案内看板!Print_Area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株式会社オガワ設計技術</dc:creator>
  <cp:keywords/>
  <dc:description/>
  <cp:lastModifiedBy>株式会社オガワ設計技術</cp:lastModifiedBy>
  <cp:lastPrinted>2022-07-05T08:11:24Z</cp:lastPrinted>
  <dcterms:created xsi:type="dcterms:W3CDTF">1999-11-19T09:13:28Z</dcterms:created>
  <dcterms:modified xsi:type="dcterms:W3CDTF">2025-12-24T06:29:41Z</dcterms:modified>
</cp:coreProperties>
</file>