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7725" windowHeight="9315" activeTab="0"/>
  </bookViews>
  <sheets>
    <sheet name="Sheet1" sheetId="1" r:id="rId1"/>
  </sheets>
  <definedNames>
    <definedName name="B">'Sheet1'!$D$16</definedName>
    <definedName name="CCA">'Sheet1'!$F$48</definedName>
    <definedName name="CSA">'Sheet1'!$F$52</definedName>
    <definedName name="GM">'Sheet1'!$F$38</definedName>
    <definedName name="H">'Sheet1'!$C$58</definedName>
    <definedName name="H2">'Sheet1'!$D$68</definedName>
    <definedName name="HW">'Sheet1'!$E$18</definedName>
    <definedName name="L">'Sheet1'!$B$16</definedName>
    <definedName name="MB">'Sheet1'!$G$102</definedName>
    <definedName name="MBC">'Sheet1'!$G$104</definedName>
    <definedName name="MBT">'Sheet1'!$G$114</definedName>
    <definedName name="ML">'Sheet1'!$G$98</definedName>
    <definedName name="MLC">'Sheet1'!$G$100</definedName>
    <definedName name="MLT">'Sheet1'!$G$110</definedName>
    <definedName name="_xlnm.Print_Area" localSheetId="0">'Sheet1'!$A$1:$H$198</definedName>
    <definedName name="Q">'Sheet1'!$F$40</definedName>
    <definedName name="RF">'Sheet1'!$C$184:$M$186</definedName>
    <definedName name="SB">'Sheet1'!$G$128</definedName>
    <definedName name="SL">'Sheet1'!$G$122</definedName>
    <definedName name="T">'Sheet1'!$D$68</definedName>
    <definedName name="TA">'Sheet1'!$F$50</definedName>
    <definedName name="W">'Sheet1'!$C$82</definedName>
    <definedName name="W1">'Sheet1'!$C$64</definedName>
    <definedName name="W2">'Sheet1'!$C$74</definedName>
    <definedName name="WB">'Sheet1'!$E$92</definedName>
    <definedName name="WC">'Sheet1'!$F$42</definedName>
    <definedName name="WL">'Sheet1'!$E$88</definedName>
  </definedNames>
  <calcPr fullCalcOnLoad="1"/>
</workbook>
</file>

<file path=xl/sharedStrings.xml><?xml version="1.0" encoding="utf-8"?>
<sst xmlns="http://schemas.openxmlformats.org/spreadsheetml/2006/main" count="163" uniqueCount="114">
  <si>
    <t>頂版の設計（四辺固定床版）</t>
  </si>
  <si>
    <t>１．設計条件</t>
  </si>
  <si>
    <t>（１）．構造形式および形状寸法</t>
  </si>
  <si>
    <t>　構造形式</t>
  </si>
  <si>
    <t>　　四辺固定床版</t>
  </si>
  <si>
    <t>（長辺Ｌm）</t>
  </si>
  <si>
    <t>（短辺Ｂm）</t>
  </si>
  <si>
    <t>　支　　間</t>
  </si>
  <si>
    <t>×</t>
  </si>
  <si>
    <t>Ｌ＝</t>
  </si>
  <si>
    <t>Ｂ＝</t>
  </si>
  <si>
    <t>ｑ＝</t>
  </si>
  <si>
    <t>Ｈ＝</t>
  </si>
  <si>
    <t>m</t>
  </si>
  <si>
    <t>Ｔ´＝</t>
  </si>
  <si>
    <t>（２）．作用荷重</t>
  </si>
  <si>
    <t xml:space="preserve">  盛土の単位体積重量</t>
  </si>
  <si>
    <t xml:space="preserve">    γ  ＝</t>
  </si>
  <si>
    <t xml:space="preserve">  載  荷  重</t>
  </si>
  <si>
    <t xml:space="preserve">    ｑ  ＝</t>
  </si>
  <si>
    <t xml:space="preserve">  鉄筋コンクリートの単位重量</t>
  </si>
  <si>
    <t>　　Ｗｃ＝</t>
  </si>
  <si>
    <t>（３）．材料強度および許容応力度</t>
  </si>
  <si>
    <t>　コンクリートの基準強度</t>
  </si>
  <si>
    <t xml:space="preserve"> σｃｋ＝</t>
  </si>
  <si>
    <t>　コンクリートの許容曲げ圧縮応力度</t>
  </si>
  <si>
    <t xml:space="preserve"> σｃａ＝</t>
  </si>
  <si>
    <t>　コンクリートの許容せん断応力度</t>
  </si>
  <si>
    <t xml:space="preserve"> τａ  ＝</t>
  </si>
  <si>
    <t>　鉄筋の許容引張応力度</t>
  </si>
  <si>
    <t xml:space="preserve"> σｓａ＝</t>
  </si>
  <si>
    <t>２．荷重の計算</t>
  </si>
  <si>
    <t>（１）．盛土の重量</t>
  </si>
  <si>
    <t>　土 被 り</t>
  </si>
  <si>
    <t>　　Ｈ ＝</t>
  </si>
  <si>
    <t xml:space="preserve"> 　　　＝</t>
  </si>
  <si>
    <t>＋</t>
  </si>
  <si>
    <t>（２）．床版の自重</t>
  </si>
  <si>
    <t xml:space="preserve">  仮定床版厚　Ｔ ＝</t>
  </si>
  <si>
    <t>mm</t>
  </si>
  <si>
    <t>（３）．合計荷重</t>
  </si>
  <si>
    <t>（４）．分担荷重</t>
  </si>
  <si>
    <t>長辺方向</t>
  </si>
  <si>
    <t>短辺方向</t>
  </si>
  <si>
    <t xml:space="preserve">３．モーメントの計算 </t>
  </si>
  <si>
    <t xml:space="preserve">    中央部</t>
  </si>
  <si>
    <t xml:space="preserve">  ＝1／24</t>
  </si>
  <si>
    <t>＝</t>
  </si>
  <si>
    <t xml:space="preserve">    端部平均</t>
  </si>
  <si>
    <t xml:space="preserve">  ＝-1／12</t>
  </si>
  <si>
    <t>４．せん断力の計算 （端　部）</t>
  </si>
  <si>
    <t xml:space="preserve"> ＝ 1 / 2</t>
  </si>
  <si>
    <t xml:space="preserve"> ＝1 ／ 2</t>
  </si>
  <si>
    <t>５．断面応力度の計算</t>
  </si>
  <si>
    <t>長</t>
  </si>
  <si>
    <t>辺</t>
  </si>
  <si>
    <t>短</t>
  </si>
  <si>
    <t>中央部</t>
  </si>
  <si>
    <t>端　　部</t>
  </si>
  <si>
    <t>b     (cm)</t>
  </si>
  <si>
    <t>T     (cm)</t>
  </si>
  <si>
    <t>d´   (cm)</t>
  </si>
  <si>
    <t>d     (cm)</t>
  </si>
  <si>
    <t>鉄筋配置</t>
  </si>
  <si>
    <t xml:space="preserve">径 </t>
  </si>
  <si>
    <t>ピッチ</t>
  </si>
  <si>
    <t>As　　(㎡)</t>
  </si>
  <si>
    <t>p</t>
  </si>
  <si>
    <t>k</t>
  </si>
  <si>
    <t>j</t>
  </si>
  <si>
    <t>1/Lc</t>
  </si>
  <si>
    <t>1/Ls</t>
  </si>
  <si>
    <t>p = As / (b･d)</t>
  </si>
  <si>
    <t>コンクリートの許容曲げ圧縮応力度 σca ＝</t>
  </si>
  <si>
    <t>コンクリートの許容せん断応力度    τa ＝</t>
  </si>
  <si>
    <t>鉄筋の許容引張応力度             σsa ＝</t>
  </si>
  <si>
    <t>鉄筋断面積表</t>
  </si>
  <si>
    <t>呼 び 名</t>
  </si>
  <si>
    <t>単位重量</t>
  </si>
  <si>
    <t>(kg/m)</t>
  </si>
  <si>
    <t>断 面 積</t>
  </si>
  <si>
    <t>( c㎡)</t>
  </si>
  <si>
    <t>B1000-L1000-H1600</t>
  </si>
  <si>
    <t xml:space="preserve">　　Ｗ1＝ γ・Ｈ ＋ ｑ </t>
  </si>
  <si>
    <t xml:space="preserve">　　Ｗ2＝ Ｗｃ・ｈ </t>
  </si>
  <si>
    <t>　　Ｗ ＝ Ｗ1 ＋ Ｗ2</t>
  </si>
  <si>
    <r>
      <t>ＷL＝Ｗ×｛Ｂ</t>
    </r>
    <r>
      <rPr>
        <vertAlign val="superscript"/>
        <sz val="10"/>
        <rFont val="ＭＳ 明朝"/>
        <family val="1"/>
      </rPr>
      <t>4</t>
    </r>
    <r>
      <rPr>
        <sz val="10"/>
        <rFont val="ＭＳ 明朝"/>
        <family val="1"/>
      </rPr>
      <t>／（Ｌ</t>
    </r>
    <r>
      <rPr>
        <vertAlign val="superscript"/>
        <sz val="10"/>
        <rFont val="ＭＳ 明朝"/>
        <family val="1"/>
      </rPr>
      <t>4</t>
    </r>
    <r>
      <rPr>
        <sz val="10"/>
        <rFont val="ＭＳ 明朝"/>
        <family val="1"/>
      </rPr>
      <t>＋Ｂ</t>
    </r>
    <r>
      <rPr>
        <vertAlign val="superscript"/>
        <sz val="10"/>
        <rFont val="ＭＳ 明朝"/>
        <family val="1"/>
      </rPr>
      <t>4</t>
    </r>
    <r>
      <rPr>
        <sz val="10"/>
        <rFont val="ＭＳ 明朝"/>
        <family val="1"/>
      </rPr>
      <t>）｝</t>
    </r>
  </si>
  <si>
    <r>
      <t>ＷB＝Ｗ×｛Ｌ</t>
    </r>
    <r>
      <rPr>
        <vertAlign val="superscript"/>
        <sz val="10"/>
        <rFont val="ＭＳ 明朝"/>
        <family val="1"/>
      </rPr>
      <t>4</t>
    </r>
    <r>
      <rPr>
        <sz val="10"/>
        <rFont val="ＭＳ 明朝"/>
        <family val="1"/>
      </rPr>
      <t>／（Ｌ</t>
    </r>
    <r>
      <rPr>
        <vertAlign val="superscript"/>
        <sz val="10"/>
        <rFont val="ＭＳ 明朝"/>
        <family val="1"/>
      </rPr>
      <t>4</t>
    </r>
    <r>
      <rPr>
        <sz val="10"/>
        <rFont val="ＭＳ 明朝"/>
        <family val="1"/>
      </rPr>
      <t>＋Ｂ</t>
    </r>
    <r>
      <rPr>
        <vertAlign val="superscript"/>
        <sz val="10"/>
        <rFont val="ＭＳ 明朝"/>
        <family val="1"/>
      </rPr>
      <t>4</t>
    </r>
    <r>
      <rPr>
        <sz val="10"/>
        <rFont val="ＭＳ 明朝"/>
        <family val="1"/>
      </rPr>
      <t>）｝</t>
    </r>
  </si>
  <si>
    <r>
      <t>ＭLC＝1／24×ＷL×Ｌ</t>
    </r>
    <r>
      <rPr>
        <vertAlign val="superscript"/>
        <sz val="10"/>
        <rFont val="ＭＳ 明朝"/>
        <family val="1"/>
      </rPr>
      <t>２</t>
    </r>
  </si>
  <si>
    <r>
      <t>ＭBC＝1／24×ＷB×Ｂ</t>
    </r>
    <r>
      <rPr>
        <vertAlign val="superscript"/>
        <sz val="10"/>
        <rFont val="ＭＳ 明朝"/>
        <family val="1"/>
      </rPr>
      <t>２</t>
    </r>
  </si>
  <si>
    <r>
      <t>ＭLt＝－1／12×ＷL×Ｌ</t>
    </r>
    <r>
      <rPr>
        <vertAlign val="superscript"/>
        <sz val="10"/>
        <rFont val="ＭＳ 明朝"/>
        <family val="1"/>
      </rPr>
      <t>２</t>
    </r>
  </si>
  <si>
    <r>
      <t>ＭBt＝－1／12×ＷB×Ｂ</t>
    </r>
    <r>
      <rPr>
        <vertAlign val="superscript"/>
        <sz val="10"/>
        <rFont val="ＭＳ 明朝"/>
        <family val="1"/>
      </rPr>
      <t>２</t>
    </r>
  </si>
  <si>
    <t>ＳL＝1／2×ＷL×Ｌ</t>
  </si>
  <si>
    <t>ＳB＝1／2×ＷB×Ｂ</t>
  </si>
  <si>
    <r>
      <t>M/(b･d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</si>
  <si>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r>
      <t>σc = M / (b･d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 ･ 1/Lc</t>
    </r>
  </si>
  <si>
    <t>（長辺Ｌ´m）</t>
  </si>
  <si>
    <t>（短辺Ｂ´m）</t>
  </si>
  <si>
    <t>純 径 間</t>
  </si>
  <si>
    <t>（  Ｔ1 m ）</t>
  </si>
  <si>
    <t>（  Ｔ2 m ）</t>
  </si>
  <si>
    <t>支承壁厚</t>
  </si>
  <si>
    <r>
      <t>kN/m</t>
    </r>
    <r>
      <rPr>
        <vertAlign val="superscript"/>
        <sz val="10"/>
        <rFont val="ＭＳ 明朝"/>
        <family val="1"/>
      </rPr>
      <t>3</t>
    </r>
  </si>
  <si>
    <r>
      <t>kN/m</t>
    </r>
    <r>
      <rPr>
        <vertAlign val="superscript"/>
        <sz val="10"/>
        <rFont val="ＭＳ 明朝"/>
        <family val="1"/>
      </rPr>
      <t>2</t>
    </r>
  </si>
  <si>
    <r>
      <t>kN/m</t>
    </r>
    <r>
      <rPr>
        <vertAlign val="superscript"/>
        <sz val="10"/>
        <rFont val="ＭＳ 明朝"/>
        <family val="1"/>
      </rPr>
      <t>2</t>
    </r>
  </si>
  <si>
    <r>
      <t>N/mm</t>
    </r>
    <r>
      <rPr>
        <vertAlign val="superscript"/>
        <sz val="10"/>
        <rFont val="ＭＳ 明朝"/>
        <family val="1"/>
      </rPr>
      <t>2</t>
    </r>
  </si>
  <si>
    <t>kN･m</t>
  </si>
  <si>
    <t>kN</t>
  </si>
  <si>
    <t>M    (kN･m)</t>
  </si>
  <si>
    <t>S    (kN)</t>
  </si>
  <si>
    <t>τ = S / (b･d)</t>
  </si>
  <si>
    <t xml:space="preserve">        σc (N/m㎡)</t>
  </si>
  <si>
    <t xml:space="preserve">        σs (N/m㎡)</t>
  </si>
  <si>
    <t xml:space="preserve">        τ  (N/m㎡)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</si>
</sst>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0.00\ &quot;m&quot;"/>
    <numFmt numFmtId="185" formatCode="0.0"/>
    <numFmt numFmtId="186" formatCode="&quot;＝ &quot;0.00"/>
    <numFmt numFmtId="187" formatCode="&quot;× &quot;0.00"/>
    <numFmt numFmtId="188" formatCode="0.00&quot; t･m&quot;"/>
    <numFmt numFmtId="189" formatCode="0.00&quot; t&quot;"/>
    <numFmt numFmtId="190" formatCode="&quot;D &quot;0"/>
    <numFmt numFmtId="191" formatCode="&quot;@ &quot;0"/>
    <numFmt numFmtId="192" formatCode="0.000000"/>
    <numFmt numFmtId="193" formatCode="0.0000"/>
    <numFmt numFmtId="194" formatCode="&quot;&quot;"/>
    <numFmt numFmtId="195" formatCode="0.000"/>
    <numFmt numFmtId="196" formatCode="&quot;－&quot;0.00&quot; ）&quot;"/>
    <numFmt numFmtId="197" formatCode="0.00_);[Red]\(0.0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12"/>
      <name val="ＭＳ 明朝"/>
      <family val="1"/>
    </font>
    <font>
      <vertAlign val="superscript"/>
      <sz val="10"/>
      <name val="ＭＳ 明朝"/>
      <family val="1"/>
    </font>
    <font>
      <sz val="10"/>
      <color indexed="8"/>
      <name val="ＭＳ 明朝"/>
      <family val="1"/>
    </font>
    <font>
      <sz val="11"/>
      <color indexed="12"/>
      <name val="ＭＳ 明朝"/>
      <family val="1"/>
    </font>
    <font>
      <b/>
      <sz val="11"/>
      <color indexed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184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left"/>
    </xf>
    <xf numFmtId="185" fontId="4" fillId="0" borderId="0" xfId="0" applyNumberFormat="1" applyFont="1" applyAlignment="1">
      <alignment horizontal="center"/>
    </xf>
    <xf numFmtId="2" fontId="9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85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186" fontId="4" fillId="0" borderId="0" xfId="0" applyNumberFormat="1" applyFont="1" applyAlignment="1" applyProtection="1">
      <alignment horizontal="center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186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2" fontId="4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 horizontal="center"/>
      <protection locked="0"/>
    </xf>
    <xf numFmtId="18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4" fillId="0" borderId="4" xfId="0" applyNumberFormat="1" applyFont="1" applyBorder="1" applyAlignment="1" applyProtection="1">
      <alignment/>
      <protection locked="0"/>
    </xf>
    <xf numFmtId="0" fontId="4" fillId="0" borderId="5" xfId="0" applyNumberFormat="1" applyFont="1" applyBorder="1" applyAlignment="1" applyProtection="1">
      <alignment/>
      <protection locked="0"/>
    </xf>
    <xf numFmtId="0" fontId="4" fillId="0" borderId="6" xfId="0" applyNumberFormat="1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4" fillId="0" borderId="7" xfId="0" applyNumberFormat="1" applyFont="1" applyBorder="1" applyAlignment="1" applyProtection="1">
      <alignment/>
      <protection locked="0"/>
    </xf>
    <xf numFmtId="0" fontId="4" fillId="0" borderId="8" xfId="0" applyNumberFormat="1" applyFont="1" applyBorder="1" applyAlignment="1" applyProtection="1">
      <alignment/>
      <protection locked="0"/>
    </xf>
    <xf numFmtId="1" fontId="4" fillId="0" borderId="2" xfId="0" applyNumberFormat="1" applyFont="1" applyBorder="1" applyAlignment="1" applyProtection="1">
      <alignment/>
      <protection locked="0"/>
    </xf>
    <xf numFmtId="1" fontId="4" fillId="0" borderId="3" xfId="0" applyNumberFormat="1" applyFont="1" applyBorder="1" applyAlignment="1" applyProtection="1">
      <alignment/>
      <protection locked="0"/>
    </xf>
    <xf numFmtId="0" fontId="4" fillId="0" borderId="1" xfId="0" applyNumberFormat="1" applyFont="1" applyBorder="1" applyAlignment="1" applyProtection="1">
      <alignment/>
      <protection locked="0"/>
    </xf>
    <xf numFmtId="0" fontId="4" fillId="0" borderId="7" xfId="0" applyNumberFormat="1" applyFont="1" applyBorder="1" applyAlignment="1" applyProtection="1">
      <alignment/>
      <protection locked="0"/>
    </xf>
    <xf numFmtId="0" fontId="4" fillId="0" borderId="2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 applyProtection="1">
      <alignment/>
      <protection locked="0"/>
    </xf>
    <xf numFmtId="192" fontId="4" fillId="0" borderId="1" xfId="0" applyNumberFormat="1" applyFont="1" applyBorder="1" applyAlignment="1" applyProtection="1">
      <alignment/>
      <protection locked="0"/>
    </xf>
    <xf numFmtId="192" fontId="4" fillId="0" borderId="7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7" xfId="0" applyNumberFormat="1" applyFont="1" applyBorder="1" applyAlignment="1" applyProtection="1">
      <alignment/>
      <protection locked="0"/>
    </xf>
    <xf numFmtId="193" fontId="4" fillId="0" borderId="1" xfId="0" applyNumberFormat="1" applyFont="1" applyBorder="1" applyAlignment="1" applyProtection="1">
      <alignment/>
      <protection locked="0"/>
    </xf>
    <xf numFmtId="193" fontId="4" fillId="0" borderId="7" xfId="0" applyNumberFormat="1" applyFont="1" applyBorder="1" applyAlignment="1" applyProtection="1">
      <alignment/>
      <protection locked="0"/>
    </xf>
    <xf numFmtId="190" fontId="4" fillId="0" borderId="6" xfId="0" applyNumberFormat="1" applyFont="1" applyBorder="1" applyAlignment="1" applyProtection="1">
      <alignment horizontal="center"/>
      <protection locked="0"/>
    </xf>
    <xf numFmtId="194" fontId="4" fillId="0" borderId="1" xfId="0" applyNumberFormat="1" applyFont="1" applyBorder="1" applyAlignment="1" applyProtection="1">
      <alignment/>
      <protection locked="0"/>
    </xf>
    <xf numFmtId="194" fontId="4" fillId="0" borderId="0" xfId="0" applyNumberFormat="1" applyFont="1" applyAlignment="1">
      <alignment/>
    </xf>
    <xf numFmtId="195" fontId="4" fillId="0" borderId="3" xfId="0" applyNumberFormat="1" applyFont="1" applyBorder="1" applyAlignment="1" applyProtection="1">
      <alignment/>
      <protection locked="0"/>
    </xf>
    <xf numFmtId="0" fontId="10" fillId="2" borderId="0" xfId="0" applyNumberFormat="1" applyFont="1" applyFill="1" applyAlignment="1" applyProtection="1">
      <alignment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0" borderId="0" xfId="0" applyFont="1" applyAlignment="1">
      <alignment/>
    </xf>
    <xf numFmtId="184" fontId="7" fillId="2" borderId="0" xfId="0" applyNumberFormat="1" applyFont="1" applyFill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5" fontId="7" fillId="2" borderId="0" xfId="0" applyNumberFormat="1" applyFont="1" applyFill="1" applyAlignment="1" applyProtection="1">
      <alignment/>
      <protection locked="0"/>
    </xf>
    <xf numFmtId="2" fontId="7" fillId="2" borderId="0" xfId="0" applyNumberFormat="1" applyFont="1" applyFill="1" applyAlignment="1" applyProtection="1">
      <alignment/>
      <protection locked="0"/>
    </xf>
    <xf numFmtId="1" fontId="7" fillId="2" borderId="0" xfId="0" applyNumberFormat="1" applyFont="1" applyFill="1" applyAlignment="1" applyProtection="1">
      <alignment/>
      <protection locked="0"/>
    </xf>
    <xf numFmtId="3" fontId="7" fillId="2" borderId="0" xfId="0" applyNumberFormat="1" applyFont="1" applyFill="1" applyAlignment="1" applyProtection="1">
      <alignment/>
      <protection locked="0"/>
    </xf>
    <xf numFmtId="1" fontId="7" fillId="2" borderId="0" xfId="0" applyNumberFormat="1" applyFont="1" applyFill="1" applyAlignment="1" applyProtection="1">
      <alignment horizontal="center"/>
      <protection locked="0"/>
    </xf>
    <xf numFmtId="185" fontId="7" fillId="2" borderId="1" xfId="0" applyNumberFormat="1" applyFont="1" applyFill="1" applyBorder="1" applyAlignment="1" applyProtection="1">
      <alignment/>
      <protection locked="0"/>
    </xf>
    <xf numFmtId="185" fontId="7" fillId="2" borderId="7" xfId="0" applyNumberFormat="1" applyFont="1" applyFill="1" applyBorder="1" applyAlignment="1" applyProtection="1">
      <alignment/>
      <protection locked="0"/>
    </xf>
    <xf numFmtId="190" fontId="7" fillId="2" borderId="1" xfId="0" applyNumberFormat="1" applyFont="1" applyFill="1" applyBorder="1" applyAlignment="1" applyProtection="1">
      <alignment/>
      <protection locked="0"/>
    </xf>
    <xf numFmtId="190" fontId="7" fillId="2" borderId="7" xfId="0" applyNumberFormat="1" applyFont="1" applyFill="1" applyBorder="1" applyAlignment="1" applyProtection="1">
      <alignment/>
      <protection locked="0"/>
    </xf>
    <xf numFmtId="191" fontId="7" fillId="2" borderId="1" xfId="0" applyNumberFormat="1" applyFont="1" applyFill="1" applyBorder="1" applyAlignment="1" applyProtection="1">
      <alignment/>
      <protection locked="0"/>
    </xf>
    <xf numFmtId="191" fontId="7" fillId="2" borderId="7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16</xdr:row>
      <xdr:rowOff>95250</xdr:rowOff>
    </xdr:from>
    <xdr:to>
      <xdr:col>15</xdr:col>
      <xdr:colOff>295275</xdr:colOff>
      <xdr:row>23</xdr:row>
      <xdr:rowOff>28575</xdr:rowOff>
    </xdr:to>
    <xdr:sp>
      <xdr:nvSpPr>
        <xdr:cNvPr id="1" name="TextBox 53"/>
        <xdr:cNvSpPr txBox="1">
          <a:spLocks noChangeArrowheads="1"/>
        </xdr:cNvSpPr>
      </xdr:nvSpPr>
      <xdr:spPr>
        <a:xfrm>
          <a:off x="8420100" y="2657475"/>
          <a:ext cx="58674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  <a:latin typeface="ＭＳ 明朝"/>
              <a:ea typeface="ＭＳ 明朝"/>
              <a:cs typeface="ＭＳ 明朝"/>
            </a:rPr>
            <a:t>埋設された桝の頂版などの計算をすることを想定しています。
           の部分に入力してください。
配筋は試算してください</a:t>
          </a:r>
        </a:p>
      </xdr:txBody>
    </xdr:sp>
    <xdr:clientData/>
  </xdr:twoCellAnchor>
  <xdr:twoCellAnchor>
    <xdr:from>
      <xdr:col>1</xdr:col>
      <xdr:colOff>323850</xdr:colOff>
      <xdr:row>21</xdr:row>
      <xdr:rowOff>19050</xdr:rowOff>
    </xdr:from>
    <xdr:to>
      <xdr:col>4</xdr:col>
      <xdr:colOff>133350</xdr:colOff>
      <xdr:row>25</xdr:row>
      <xdr:rowOff>123825</xdr:rowOff>
    </xdr:to>
    <xdr:sp>
      <xdr:nvSpPr>
        <xdr:cNvPr id="2" name="Rectangle 5"/>
        <xdr:cNvSpPr>
          <a:spLocks/>
        </xdr:cNvSpPr>
      </xdr:nvSpPr>
      <xdr:spPr>
        <a:xfrm>
          <a:off x="1409700" y="3390900"/>
          <a:ext cx="306705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581025</xdr:colOff>
      <xdr:row>22</xdr:row>
      <xdr:rowOff>19050</xdr:rowOff>
    </xdr:from>
    <xdr:to>
      <xdr:col>3</xdr:col>
      <xdr:colOff>962025</xdr:colOff>
      <xdr:row>24</xdr:row>
      <xdr:rowOff>142875</xdr:rowOff>
    </xdr:to>
    <xdr:sp>
      <xdr:nvSpPr>
        <xdr:cNvPr id="3" name="Rectangle 6"/>
        <xdr:cNvSpPr>
          <a:spLocks/>
        </xdr:cNvSpPr>
      </xdr:nvSpPr>
      <xdr:spPr>
        <a:xfrm>
          <a:off x="1666875" y="3543300"/>
          <a:ext cx="2552700" cy="428625"/>
        </a:xfrm>
        <a:prstGeom prst="rect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466725</xdr:colOff>
      <xdr:row>18</xdr:row>
      <xdr:rowOff>133350</xdr:rowOff>
    </xdr:from>
    <xdr:to>
      <xdr:col>1</xdr:col>
      <xdr:colOff>466725</xdr:colOff>
      <xdr:row>21</xdr:row>
      <xdr:rowOff>142875</xdr:rowOff>
    </xdr:to>
    <xdr:sp>
      <xdr:nvSpPr>
        <xdr:cNvPr id="4" name="Line 7"/>
        <xdr:cNvSpPr>
          <a:spLocks/>
        </xdr:cNvSpPr>
      </xdr:nvSpPr>
      <xdr:spPr>
        <a:xfrm flipV="1">
          <a:off x="1552575" y="3019425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142875</xdr:rowOff>
    </xdr:from>
    <xdr:to>
      <xdr:col>4</xdr:col>
      <xdr:colOff>28575</xdr:colOff>
      <xdr:row>21</xdr:row>
      <xdr:rowOff>142875</xdr:rowOff>
    </xdr:to>
    <xdr:sp>
      <xdr:nvSpPr>
        <xdr:cNvPr id="5" name="Line 9"/>
        <xdr:cNvSpPr>
          <a:spLocks/>
        </xdr:cNvSpPr>
      </xdr:nvSpPr>
      <xdr:spPr>
        <a:xfrm flipV="1">
          <a:off x="4371975" y="3028950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466725</xdr:colOff>
      <xdr:row>18</xdr:row>
      <xdr:rowOff>152400</xdr:rowOff>
    </xdr:from>
    <xdr:to>
      <xdr:col>4</xdr:col>
      <xdr:colOff>28575</xdr:colOff>
      <xdr:row>18</xdr:row>
      <xdr:rowOff>152400</xdr:rowOff>
    </xdr:to>
    <xdr:sp>
      <xdr:nvSpPr>
        <xdr:cNvPr id="6" name="Line 11"/>
        <xdr:cNvSpPr>
          <a:spLocks/>
        </xdr:cNvSpPr>
      </xdr:nvSpPr>
      <xdr:spPr>
        <a:xfrm flipV="1">
          <a:off x="1552575" y="3038475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838200</xdr:colOff>
      <xdr:row>21</xdr:row>
      <xdr:rowOff>104775</xdr:rowOff>
    </xdr:from>
    <xdr:to>
      <xdr:col>4</xdr:col>
      <xdr:colOff>838200</xdr:colOff>
      <xdr:row>25</xdr:row>
      <xdr:rowOff>47625</xdr:rowOff>
    </xdr:to>
    <xdr:sp>
      <xdr:nvSpPr>
        <xdr:cNvPr id="7" name="Line 14"/>
        <xdr:cNvSpPr>
          <a:spLocks/>
        </xdr:cNvSpPr>
      </xdr:nvSpPr>
      <xdr:spPr>
        <a:xfrm>
          <a:off x="5181600" y="3476625"/>
          <a:ext cx="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1009650</xdr:colOff>
      <xdr:row>21</xdr:row>
      <xdr:rowOff>104775</xdr:rowOff>
    </xdr:from>
    <xdr:to>
      <xdr:col>4</xdr:col>
      <xdr:colOff>952500</xdr:colOff>
      <xdr:row>21</xdr:row>
      <xdr:rowOff>104775</xdr:rowOff>
    </xdr:to>
    <xdr:sp>
      <xdr:nvSpPr>
        <xdr:cNvPr id="8" name="Line 15"/>
        <xdr:cNvSpPr>
          <a:spLocks/>
        </xdr:cNvSpPr>
      </xdr:nvSpPr>
      <xdr:spPr>
        <a:xfrm>
          <a:off x="4267200" y="347662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1000125</xdr:colOff>
      <xdr:row>25</xdr:row>
      <xdr:rowOff>47625</xdr:rowOff>
    </xdr:from>
    <xdr:to>
      <xdr:col>4</xdr:col>
      <xdr:colOff>914400</xdr:colOff>
      <xdr:row>25</xdr:row>
      <xdr:rowOff>47625</xdr:rowOff>
    </xdr:to>
    <xdr:sp>
      <xdr:nvSpPr>
        <xdr:cNvPr id="9" name="Line 16"/>
        <xdr:cNvSpPr>
          <a:spLocks/>
        </xdr:cNvSpPr>
      </xdr:nvSpPr>
      <xdr:spPr>
        <a:xfrm>
          <a:off x="4257675" y="404812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28</xdr:row>
      <xdr:rowOff>9525</xdr:rowOff>
    </xdr:from>
    <xdr:to>
      <xdr:col>5</xdr:col>
      <xdr:colOff>704850</xdr:colOff>
      <xdr:row>28</xdr:row>
      <xdr:rowOff>66675</xdr:rowOff>
    </xdr:to>
    <xdr:sp>
      <xdr:nvSpPr>
        <xdr:cNvPr id="10" name="Rectangle 21"/>
        <xdr:cNvSpPr>
          <a:spLocks/>
        </xdr:cNvSpPr>
      </xdr:nvSpPr>
      <xdr:spPr>
        <a:xfrm>
          <a:off x="1238250" y="4524375"/>
          <a:ext cx="4895850" cy="47625"/>
        </a:xfrm>
        <a:prstGeom prst="rect">
          <a:avLst/>
        </a:prstGeom>
        <a:pattFill prst="ltUpDiag">
          <a:fgClr>
            <a:srgbClr val="000000"/>
          </a:fgClr>
          <a:bgClr>
            <a:srgbClr val="C0C0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6</xdr:col>
      <xdr:colOff>295275</xdr:colOff>
      <xdr:row>33</xdr:row>
      <xdr:rowOff>0</xdr:rowOff>
    </xdr:to>
    <xdr:sp>
      <xdr:nvSpPr>
        <xdr:cNvPr id="11" name="Line 22"/>
        <xdr:cNvSpPr>
          <a:spLocks/>
        </xdr:cNvSpPr>
      </xdr:nvSpPr>
      <xdr:spPr>
        <a:xfrm flipV="1">
          <a:off x="4562475" y="5343525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31</xdr:row>
      <xdr:rowOff>0</xdr:rowOff>
    </xdr:from>
    <xdr:to>
      <xdr:col>6</xdr:col>
      <xdr:colOff>295275</xdr:colOff>
      <xdr:row>31</xdr:row>
      <xdr:rowOff>0</xdr:rowOff>
    </xdr:to>
    <xdr:sp>
      <xdr:nvSpPr>
        <xdr:cNvPr id="12" name="Line 23"/>
        <xdr:cNvSpPr>
          <a:spLocks/>
        </xdr:cNvSpPr>
      </xdr:nvSpPr>
      <xdr:spPr>
        <a:xfrm>
          <a:off x="4543425" y="4981575"/>
          <a:ext cx="226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6</xdr:col>
      <xdr:colOff>219075</xdr:colOff>
      <xdr:row>33</xdr:row>
      <xdr:rowOff>0</xdr:rowOff>
    </xdr:to>
    <xdr:sp>
      <xdr:nvSpPr>
        <xdr:cNvPr id="13" name="Line 24"/>
        <xdr:cNvSpPr>
          <a:spLocks/>
        </xdr:cNvSpPr>
      </xdr:nvSpPr>
      <xdr:spPr>
        <a:xfrm>
          <a:off x="6734175" y="498157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6</xdr:col>
      <xdr:colOff>295275</xdr:colOff>
      <xdr:row>33</xdr:row>
      <xdr:rowOff>0</xdr:rowOff>
    </xdr:to>
    <xdr:sp>
      <xdr:nvSpPr>
        <xdr:cNvPr id="14" name="Line 25"/>
        <xdr:cNvSpPr>
          <a:spLocks/>
        </xdr:cNvSpPr>
      </xdr:nvSpPr>
      <xdr:spPr>
        <a:xfrm>
          <a:off x="4562475" y="5324475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28</xdr:row>
      <xdr:rowOff>9525</xdr:rowOff>
    </xdr:from>
    <xdr:to>
      <xdr:col>6</xdr:col>
      <xdr:colOff>342900</xdr:colOff>
      <xdr:row>28</xdr:row>
      <xdr:rowOff>9525</xdr:rowOff>
    </xdr:to>
    <xdr:sp>
      <xdr:nvSpPr>
        <xdr:cNvPr id="15" name="Line 27"/>
        <xdr:cNvSpPr>
          <a:spLocks/>
        </xdr:cNvSpPr>
      </xdr:nvSpPr>
      <xdr:spPr>
        <a:xfrm>
          <a:off x="1219200" y="4524375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6</xdr:col>
      <xdr:colOff>285750</xdr:colOff>
      <xdr:row>29</xdr:row>
      <xdr:rowOff>133350</xdr:rowOff>
    </xdr:to>
    <xdr:sp>
      <xdr:nvSpPr>
        <xdr:cNvPr id="16" name="Line 28"/>
        <xdr:cNvSpPr>
          <a:spLocks/>
        </xdr:cNvSpPr>
      </xdr:nvSpPr>
      <xdr:spPr>
        <a:xfrm>
          <a:off x="4533900" y="4810125"/>
          <a:ext cx="226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219075</xdr:colOff>
      <xdr:row>28</xdr:row>
      <xdr:rowOff>9525</xdr:rowOff>
    </xdr:from>
    <xdr:to>
      <xdr:col>6</xdr:col>
      <xdr:colOff>219075</xdr:colOff>
      <xdr:row>29</xdr:row>
      <xdr:rowOff>133350</xdr:rowOff>
    </xdr:to>
    <xdr:sp>
      <xdr:nvSpPr>
        <xdr:cNvPr id="17" name="Line 29"/>
        <xdr:cNvSpPr>
          <a:spLocks/>
        </xdr:cNvSpPr>
      </xdr:nvSpPr>
      <xdr:spPr>
        <a:xfrm flipV="1">
          <a:off x="6734175" y="452437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200025</xdr:colOff>
      <xdr:row>33</xdr:row>
      <xdr:rowOff>0</xdr:rowOff>
    </xdr:from>
    <xdr:to>
      <xdr:col>6</xdr:col>
      <xdr:colOff>200025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V="1">
          <a:off x="6715125" y="532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581025</xdr:colOff>
      <xdr:row>31</xdr:row>
      <xdr:rowOff>0</xdr:rowOff>
    </xdr:from>
    <xdr:to>
      <xdr:col>1</xdr:col>
      <xdr:colOff>581025</xdr:colOff>
      <xdr:row>33</xdr:row>
      <xdr:rowOff>161925</xdr:rowOff>
    </xdr:to>
    <xdr:sp>
      <xdr:nvSpPr>
        <xdr:cNvPr id="19" name="Line 32"/>
        <xdr:cNvSpPr>
          <a:spLocks/>
        </xdr:cNvSpPr>
      </xdr:nvSpPr>
      <xdr:spPr>
        <a:xfrm>
          <a:off x="1666875" y="4981575"/>
          <a:ext cx="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962025</xdr:colOff>
      <xdr:row>30</xdr:row>
      <xdr:rowOff>152400</xdr:rowOff>
    </xdr:from>
    <xdr:to>
      <xdr:col>3</xdr:col>
      <xdr:colOff>962025</xdr:colOff>
      <xdr:row>33</xdr:row>
      <xdr:rowOff>161925</xdr:rowOff>
    </xdr:to>
    <xdr:sp>
      <xdr:nvSpPr>
        <xdr:cNvPr id="20" name="Line 33"/>
        <xdr:cNvSpPr>
          <a:spLocks/>
        </xdr:cNvSpPr>
      </xdr:nvSpPr>
      <xdr:spPr>
        <a:xfrm>
          <a:off x="4219575" y="4981575"/>
          <a:ext cx="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600075</xdr:colOff>
      <xdr:row>31</xdr:row>
      <xdr:rowOff>0</xdr:rowOff>
    </xdr:from>
    <xdr:to>
      <xdr:col>3</xdr:col>
      <xdr:colOff>962025</xdr:colOff>
      <xdr:row>31</xdr:row>
      <xdr:rowOff>0</xdr:rowOff>
    </xdr:to>
    <xdr:sp>
      <xdr:nvSpPr>
        <xdr:cNvPr id="21" name="Line 35"/>
        <xdr:cNvSpPr>
          <a:spLocks/>
        </xdr:cNvSpPr>
      </xdr:nvSpPr>
      <xdr:spPr>
        <a:xfrm>
          <a:off x="1685925" y="4981575"/>
          <a:ext cx="253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133350</xdr:rowOff>
    </xdr:from>
    <xdr:to>
      <xdr:col>4</xdr:col>
      <xdr:colOff>133350</xdr:colOff>
      <xdr:row>34</xdr:row>
      <xdr:rowOff>0</xdr:rowOff>
    </xdr:to>
    <xdr:sp>
      <xdr:nvSpPr>
        <xdr:cNvPr id="22" name="図形 40"/>
        <xdr:cNvSpPr>
          <a:spLocks/>
        </xdr:cNvSpPr>
      </xdr:nvSpPr>
      <xdr:spPr>
        <a:xfrm>
          <a:off x="1409700" y="4810125"/>
          <a:ext cx="3067050" cy="676275"/>
        </a:xfrm>
        <a:custGeom>
          <a:pathLst>
            <a:path h="16384" w="16384">
              <a:moveTo>
                <a:pt x="0" y="14824"/>
              </a:moveTo>
              <a:lnTo>
                <a:pt x="0" y="0"/>
              </a:lnTo>
              <a:lnTo>
                <a:pt x="16384" y="0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95250</xdr:rowOff>
    </xdr:from>
    <xdr:to>
      <xdr:col>9</xdr:col>
      <xdr:colOff>676275</xdr:colOff>
      <xdr:row>20</xdr:row>
      <xdr:rowOff>19050</xdr:rowOff>
    </xdr:to>
    <xdr:sp>
      <xdr:nvSpPr>
        <xdr:cNvPr id="23" name="TextBox 54"/>
        <xdr:cNvSpPr txBox="1">
          <a:spLocks noChangeArrowheads="1"/>
        </xdr:cNvSpPr>
      </xdr:nvSpPr>
      <xdr:spPr>
        <a:xfrm>
          <a:off x="8867775" y="2981325"/>
          <a:ext cx="6572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1.00m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showGridLines="0" tabSelected="1" view="pageBreakPreview" zoomScaleSheetLayoutView="100" workbookViewId="0" topLeftCell="A1">
      <selection activeCell="J34" sqref="J34"/>
    </sheetView>
  </sheetViews>
  <sheetFormatPr defaultColWidth="8.796875" defaultRowHeight="14.25"/>
  <cols>
    <col min="1" max="7" width="11.3984375" style="1" customWidth="1"/>
    <col min="8" max="8" width="4.09765625" style="1" customWidth="1"/>
    <col min="9" max="16384" width="9" style="1" customWidth="1"/>
  </cols>
  <sheetData>
    <row r="1" spans="1:8" s="57" customFormat="1" ht="13.5">
      <c r="A1" s="53" t="s">
        <v>0</v>
      </c>
      <c r="B1" s="54"/>
      <c r="C1" s="54"/>
      <c r="D1" s="55"/>
      <c r="E1" s="56" t="s">
        <v>82</v>
      </c>
      <c r="F1" s="55"/>
      <c r="G1" s="55"/>
      <c r="H1" s="55"/>
    </row>
    <row r="3" spans="1:2" ht="12">
      <c r="A3" s="2" t="s">
        <v>1</v>
      </c>
      <c r="B3" s="2"/>
    </row>
    <row r="5" spans="1:3" ht="12">
      <c r="A5" s="2" t="s">
        <v>2</v>
      </c>
      <c r="B5" s="2"/>
      <c r="C5" s="2"/>
    </row>
    <row r="7" spans="1:3" ht="12">
      <c r="A7" s="2" t="s">
        <v>3</v>
      </c>
      <c r="B7" s="2" t="s">
        <v>4</v>
      </c>
      <c r="C7" s="2"/>
    </row>
    <row r="9" spans="2:4" ht="12">
      <c r="B9" s="3" t="s">
        <v>96</v>
      </c>
      <c r="C9" s="3"/>
      <c r="D9" s="3" t="s">
        <v>97</v>
      </c>
    </row>
    <row r="10" spans="1:4" ht="12">
      <c r="A10" s="3" t="s">
        <v>98</v>
      </c>
      <c r="B10" s="58">
        <v>1</v>
      </c>
      <c r="C10" s="3" t="s">
        <v>8</v>
      </c>
      <c r="D10" s="58">
        <v>1</v>
      </c>
    </row>
    <row r="11" ht="12">
      <c r="A11" s="27"/>
    </row>
    <row r="12" spans="1:4" ht="12">
      <c r="A12" s="27"/>
      <c r="B12" s="3" t="s">
        <v>99</v>
      </c>
      <c r="C12" s="3"/>
      <c r="D12" s="3" t="s">
        <v>100</v>
      </c>
    </row>
    <row r="13" spans="1:4" ht="12">
      <c r="A13" s="3" t="s">
        <v>101</v>
      </c>
      <c r="B13" s="58">
        <v>0.3</v>
      </c>
      <c r="D13" s="58">
        <v>0.3</v>
      </c>
    </row>
    <row r="14" ht="12">
      <c r="A14" s="27"/>
    </row>
    <row r="15" spans="1:5" ht="12">
      <c r="A15" s="27"/>
      <c r="B15" s="3" t="s">
        <v>5</v>
      </c>
      <c r="C15" s="3"/>
      <c r="D15" s="3" t="s">
        <v>6</v>
      </c>
      <c r="E15" s="3"/>
    </row>
    <row r="16" spans="1:4" ht="12">
      <c r="A16" s="16" t="s">
        <v>7</v>
      </c>
      <c r="B16" s="59">
        <f>B10+B13</f>
        <v>1.3</v>
      </c>
      <c r="C16" s="3" t="s">
        <v>8</v>
      </c>
      <c r="D16" s="59">
        <f>D10+D13</f>
        <v>1.3</v>
      </c>
    </row>
    <row r="18" spans="2:4" ht="12">
      <c r="B18" s="4"/>
      <c r="C18" s="3" t="s">
        <v>9</v>
      </c>
      <c r="D18" s="5"/>
    </row>
    <row r="19" spans="2:4" ht="12">
      <c r="B19" s="6"/>
      <c r="C19" s="7">
        <f>L</f>
        <v>1.3</v>
      </c>
      <c r="D19" s="8"/>
    </row>
    <row r="20" ht="12">
      <c r="J20" s="58"/>
    </row>
    <row r="22" spans="5:6" ht="12">
      <c r="E22" s="5"/>
      <c r="F22" s="9"/>
    </row>
    <row r="24" spans="5:6" ht="12">
      <c r="E24" s="5" t="s">
        <v>10</v>
      </c>
      <c r="F24" s="9">
        <f>B</f>
        <v>1.3</v>
      </c>
    </row>
    <row r="26" spans="5:6" ht="12">
      <c r="E26" s="5"/>
      <c r="F26" s="9"/>
    </row>
    <row r="28" spans="2:4" ht="14.25">
      <c r="B28" s="5" t="s">
        <v>11</v>
      </c>
      <c r="C28" s="10">
        <f>Q</f>
        <v>10</v>
      </c>
      <c r="D28" s="1" t="s">
        <v>104</v>
      </c>
    </row>
    <row r="30" spans="6:8" ht="12">
      <c r="F30" s="5" t="s">
        <v>12</v>
      </c>
      <c r="G30" s="11">
        <f>C58</f>
        <v>21.4</v>
      </c>
      <c r="H30" s="2" t="s">
        <v>13</v>
      </c>
    </row>
    <row r="31" spans="6:8" ht="12">
      <c r="F31" s="5" t="s">
        <v>14</v>
      </c>
      <c r="G31" s="12">
        <f>T/1000</f>
        <v>0.5</v>
      </c>
      <c r="H31" s="1" t="s">
        <v>13</v>
      </c>
    </row>
    <row r="36" spans="1:3" ht="12">
      <c r="A36" s="2" t="s">
        <v>15</v>
      </c>
      <c r="B36" s="2"/>
      <c r="C36" s="2"/>
    </row>
    <row r="38" spans="1:7" ht="14.25">
      <c r="A38" s="2" t="s">
        <v>16</v>
      </c>
      <c r="B38" s="2"/>
      <c r="C38" s="2"/>
      <c r="E38" s="5" t="s">
        <v>17</v>
      </c>
      <c r="F38" s="60">
        <v>19</v>
      </c>
      <c r="G38" s="2" t="s">
        <v>102</v>
      </c>
    </row>
    <row r="39" spans="1:6" ht="12">
      <c r="A39" s="2"/>
      <c r="B39" s="2"/>
      <c r="C39" s="2"/>
      <c r="E39" s="2"/>
      <c r="F39" s="13"/>
    </row>
    <row r="40" spans="1:7" ht="14.25">
      <c r="A40" s="2" t="s">
        <v>18</v>
      </c>
      <c r="B40" s="2"/>
      <c r="C40" s="2"/>
      <c r="E40" s="5" t="s">
        <v>19</v>
      </c>
      <c r="F40" s="60">
        <v>10</v>
      </c>
      <c r="G40" s="2" t="s">
        <v>103</v>
      </c>
    </row>
    <row r="42" spans="1:7" ht="14.25">
      <c r="A42" s="2" t="s">
        <v>20</v>
      </c>
      <c r="B42" s="2"/>
      <c r="C42" s="2"/>
      <c r="E42" s="5" t="s">
        <v>21</v>
      </c>
      <c r="F42" s="60">
        <v>24.5</v>
      </c>
      <c r="G42" s="2" t="s">
        <v>102</v>
      </c>
    </row>
    <row r="44" spans="1:4" ht="12">
      <c r="A44" s="2" t="s">
        <v>22</v>
      </c>
      <c r="B44" s="2"/>
      <c r="C44" s="2"/>
      <c r="D44" s="2"/>
    </row>
    <row r="46" spans="1:7" ht="14.25">
      <c r="A46" s="2" t="s">
        <v>23</v>
      </c>
      <c r="B46" s="2"/>
      <c r="C46" s="2"/>
      <c r="E46" s="5" t="s">
        <v>24</v>
      </c>
      <c r="F46" s="62">
        <v>24</v>
      </c>
      <c r="G46" s="2" t="s">
        <v>105</v>
      </c>
    </row>
    <row r="47" spans="1:6" ht="12">
      <c r="A47" s="2"/>
      <c r="B47" s="2"/>
      <c r="C47" s="2"/>
      <c r="F47" s="14"/>
    </row>
    <row r="48" spans="1:7" ht="14.25">
      <c r="A48" s="2" t="s">
        <v>25</v>
      </c>
      <c r="B48" s="2"/>
      <c r="C48" s="2"/>
      <c r="D48" s="2"/>
      <c r="E48" s="5" t="s">
        <v>26</v>
      </c>
      <c r="F48" s="14">
        <f>F46/3</f>
        <v>8</v>
      </c>
      <c r="G48" s="2" t="s">
        <v>105</v>
      </c>
    </row>
    <row r="49" spans="1:4" ht="12">
      <c r="A49" s="2"/>
      <c r="B49" s="2"/>
      <c r="C49" s="2"/>
      <c r="D49" s="2"/>
    </row>
    <row r="50" spans="1:7" ht="14.25">
      <c r="A50" s="2" t="s">
        <v>27</v>
      </c>
      <c r="B50" s="2"/>
      <c r="C50" s="2"/>
      <c r="D50" s="2"/>
      <c r="E50" s="5" t="s">
        <v>28</v>
      </c>
      <c r="F50" s="61">
        <v>0.39</v>
      </c>
      <c r="G50" s="2" t="s">
        <v>105</v>
      </c>
    </row>
    <row r="51" spans="1:4" ht="12">
      <c r="A51" s="2"/>
      <c r="B51" s="2"/>
      <c r="C51" s="2"/>
      <c r="D51" s="2"/>
    </row>
    <row r="52" spans="1:7" ht="14.25">
      <c r="A52" s="2" t="s">
        <v>29</v>
      </c>
      <c r="B52" s="2"/>
      <c r="C52" s="2"/>
      <c r="D52" s="2"/>
      <c r="E52" s="5" t="s">
        <v>30</v>
      </c>
      <c r="F52" s="63">
        <v>180</v>
      </c>
      <c r="G52" s="2" t="s">
        <v>105</v>
      </c>
    </row>
    <row r="54" spans="1:2" ht="12">
      <c r="A54" s="2" t="s">
        <v>31</v>
      </c>
      <c r="B54" s="2"/>
    </row>
    <row r="56" spans="1:3" ht="12">
      <c r="A56" s="2" t="s">
        <v>32</v>
      </c>
      <c r="B56" s="2"/>
      <c r="C56" s="2"/>
    </row>
    <row r="58" spans="1:4" ht="12">
      <c r="A58" s="2" t="s">
        <v>33</v>
      </c>
      <c r="B58" s="5" t="s">
        <v>34</v>
      </c>
      <c r="C58" s="61">
        <v>21.4</v>
      </c>
      <c r="D58" s="2" t="s">
        <v>13</v>
      </c>
    </row>
    <row r="60" spans="2:5" ht="12">
      <c r="B60" s="16" t="s">
        <v>83</v>
      </c>
      <c r="C60" s="16"/>
      <c r="D60" s="16"/>
      <c r="E60" s="17"/>
    </row>
    <row r="62" spans="2:7" ht="12">
      <c r="B62" s="5" t="s">
        <v>35</v>
      </c>
      <c r="C62" s="18">
        <f>GM</f>
        <v>19</v>
      </c>
      <c r="D62" s="3" t="s">
        <v>8</v>
      </c>
      <c r="E62" s="19">
        <f>H</f>
        <v>21.4</v>
      </c>
      <c r="F62" s="3" t="s">
        <v>36</v>
      </c>
      <c r="G62" s="18">
        <f>Q</f>
        <v>10</v>
      </c>
    </row>
    <row r="64" spans="2:4" ht="14.25">
      <c r="B64" s="5" t="s">
        <v>35</v>
      </c>
      <c r="C64" s="19">
        <f>ROUND(GM*H+Q,2)</f>
        <v>416.6</v>
      </c>
      <c r="D64" s="2" t="s">
        <v>104</v>
      </c>
    </row>
    <row r="66" spans="1:2" ht="12">
      <c r="A66" s="2" t="s">
        <v>37</v>
      </c>
      <c r="B66" s="2"/>
    </row>
    <row r="67" spans="1:2" ht="12">
      <c r="A67" s="2"/>
      <c r="B67" s="2"/>
    </row>
    <row r="68" spans="2:5" ht="12">
      <c r="B68" s="4"/>
      <c r="C68" s="5" t="s">
        <v>38</v>
      </c>
      <c r="D68" s="64">
        <v>500</v>
      </c>
      <c r="E68" s="2" t="s">
        <v>39</v>
      </c>
    </row>
    <row r="70" spans="2:4" ht="12">
      <c r="B70" s="2" t="s">
        <v>84</v>
      </c>
      <c r="C70" s="2"/>
      <c r="D70" s="2"/>
    </row>
    <row r="72" spans="2:5" ht="12">
      <c r="B72" s="3" t="s">
        <v>35</v>
      </c>
      <c r="C72" s="18">
        <f>WC</f>
        <v>24.5</v>
      </c>
      <c r="D72" s="3" t="s">
        <v>8</v>
      </c>
      <c r="E72" s="19">
        <f>H2/1000</f>
        <v>0.5</v>
      </c>
    </row>
    <row r="74" spans="2:4" ht="14.25">
      <c r="B74" s="3" t="s">
        <v>35</v>
      </c>
      <c r="C74" s="19">
        <f>ROUND(WC*H2/1000,2)</f>
        <v>12.25</v>
      </c>
      <c r="D74" s="2" t="s">
        <v>104</v>
      </c>
    </row>
    <row r="76" spans="1:2" ht="12">
      <c r="A76" s="2" t="s">
        <v>40</v>
      </c>
      <c r="B76" s="2"/>
    </row>
    <row r="78" spans="2:3" ht="12">
      <c r="B78" s="2" t="s">
        <v>85</v>
      </c>
      <c r="C78" s="2"/>
    </row>
    <row r="80" spans="2:5" ht="12">
      <c r="B80" s="3" t="s">
        <v>35</v>
      </c>
      <c r="C80" s="19">
        <f>W1</f>
        <v>416.6</v>
      </c>
      <c r="D80" s="3" t="s">
        <v>36</v>
      </c>
      <c r="E80" s="19">
        <f>W2</f>
        <v>12.25</v>
      </c>
    </row>
    <row r="82" spans="2:4" ht="14.25">
      <c r="B82" s="3" t="s">
        <v>35</v>
      </c>
      <c r="C82" s="19">
        <f>W1+W2</f>
        <v>428.85</v>
      </c>
      <c r="D82" s="2" t="s">
        <v>104</v>
      </c>
    </row>
    <row r="84" spans="1:3" ht="12">
      <c r="A84" s="2" t="s">
        <v>41</v>
      </c>
      <c r="B84" s="2"/>
      <c r="C84" s="2"/>
    </row>
    <row r="86" spans="2:7" ht="14.25">
      <c r="B86" s="2" t="s">
        <v>42</v>
      </c>
      <c r="D86" s="2" t="s">
        <v>86</v>
      </c>
      <c r="E86" s="2"/>
      <c r="F86" s="2"/>
      <c r="G86" s="2"/>
    </row>
    <row r="87" spans="2:7" ht="12">
      <c r="B87" s="2"/>
      <c r="C87" s="2"/>
      <c r="D87" s="2"/>
      <c r="E87" s="2"/>
      <c r="F87" s="2"/>
      <c r="G87" s="2"/>
    </row>
    <row r="88" spans="3:7" ht="14.25">
      <c r="C88" s="20">
        <f>W</f>
        <v>428.85</v>
      </c>
      <c r="D88" s="21">
        <f>ROUND(B^4/(L^4+B^4),2)</f>
        <v>0.5</v>
      </c>
      <c r="E88" s="22">
        <f>ROUND(C88*D88,2)</f>
        <v>214.43</v>
      </c>
      <c r="F88" s="2" t="s">
        <v>104</v>
      </c>
      <c r="G88" s="2"/>
    </row>
    <row r="89" ht="12">
      <c r="B89" s="3"/>
    </row>
    <row r="90" spans="2:7" ht="14.25">
      <c r="B90" s="2" t="s">
        <v>43</v>
      </c>
      <c r="D90" s="2" t="s">
        <v>87</v>
      </c>
      <c r="E90" s="2"/>
      <c r="F90" s="2"/>
      <c r="G90" s="2"/>
    </row>
    <row r="91" spans="2:7" ht="12">
      <c r="B91" s="2"/>
      <c r="C91" s="2"/>
      <c r="D91" s="2"/>
      <c r="E91" s="2"/>
      <c r="F91" s="2"/>
      <c r="G91" s="2"/>
    </row>
    <row r="92" spans="3:7" ht="14.25">
      <c r="C92" s="20">
        <f>W</f>
        <v>428.85</v>
      </c>
      <c r="D92" s="21">
        <f>ROUND(L^4/(L^4+B^4),2)</f>
        <v>0.5</v>
      </c>
      <c r="E92" s="22">
        <f>ROUND(C92*D92,2)</f>
        <v>214.43</v>
      </c>
      <c r="F92" s="2" t="s">
        <v>104</v>
      </c>
      <c r="G92" s="2"/>
    </row>
    <row r="94" spans="1:4" ht="12">
      <c r="A94" s="2" t="s">
        <v>44</v>
      </c>
      <c r="B94" s="2"/>
      <c r="C94" s="2"/>
      <c r="D94" s="2"/>
    </row>
    <row r="96" ht="12">
      <c r="A96" s="2" t="s">
        <v>45</v>
      </c>
    </row>
    <row r="98" spans="2:5" ht="14.25">
      <c r="B98" s="2" t="s">
        <v>42</v>
      </c>
      <c r="C98" s="2" t="s">
        <v>88</v>
      </c>
      <c r="D98" s="2"/>
      <c r="E98" s="2"/>
    </row>
    <row r="99" spans="2:6" ht="12">
      <c r="B99" s="2"/>
      <c r="F99" s="23">
        <v>2</v>
      </c>
    </row>
    <row r="100" spans="3:8" ht="12">
      <c r="C100" s="2" t="s">
        <v>46</v>
      </c>
      <c r="D100" s="21">
        <f>WL</f>
        <v>214.43</v>
      </c>
      <c r="E100" s="21">
        <f>L</f>
        <v>1.3</v>
      </c>
      <c r="F100" s="5" t="s">
        <v>47</v>
      </c>
      <c r="G100" s="24">
        <f>ROUND(1/24*WL*L^2,2)</f>
        <v>15.1</v>
      </c>
      <c r="H100" s="23" t="s">
        <v>106</v>
      </c>
    </row>
    <row r="101" ht="12">
      <c r="B101" s="3"/>
    </row>
    <row r="102" spans="2:5" ht="14.25">
      <c r="B102" s="2" t="s">
        <v>43</v>
      </c>
      <c r="C102" s="2" t="s">
        <v>89</v>
      </c>
      <c r="D102" s="2"/>
      <c r="E102" s="2"/>
    </row>
    <row r="103" spans="2:6" ht="12">
      <c r="B103" s="2"/>
      <c r="F103" s="23">
        <v>2</v>
      </c>
    </row>
    <row r="104" spans="3:8" ht="12">
      <c r="C104" s="2" t="s">
        <v>46</v>
      </c>
      <c r="D104" s="21">
        <f>WB</f>
        <v>214.43</v>
      </c>
      <c r="E104" s="21">
        <f>B</f>
        <v>1.3</v>
      </c>
      <c r="F104" s="5" t="s">
        <v>47</v>
      </c>
      <c r="G104" s="24">
        <f>ROUND(1/24*WB*B^2,2)</f>
        <v>15.1</v>
      </c>
      <c r="H104" s="23" t="s">
        <v>106</v>
      </c>
    </row>
    <row r="106" spans="1:2" ht="12">
      <c r="A106" s="2" t="s">
        <v>48</v>
      </c>
      <c r="B106" s="2"/>
    </row>
    <row r="108" spans="2:5" ht="14.25">
      <c r="B108" s="2" t="s">
        <v>42</v>
      </c>
      <c r="C108" s="2" t="s">
        <v>90</v>
      </c>
      <c r="D108" s="2"/>
      <c r="E108" s="2"/>
    </row>
    <row r="109" spans="2:6" ht="12">
      <c r="B109" s="2"/>
      <c r="F109" s="23">
        <v>2</v>
      </c>
    </row>
    <row r="110" spans="3:8" ht="12">
      <c r="C110" s="5" t="s">
        <v>49</v>
      </c>
      <c r="D110" s="21">
        <f>WL</f>
        <v>214.43</v>
      </c>
      <c r="E110" s="21">
        <f>L</f>
        <v>1.3</v>
      </c>
      <c r="F110" s="5" t="s">
        <v>47</v>
      </c>
      <c r="G110" s="24">
        <f>ROUND(-1/12*WL*L^2,2)</f>
        <v>-30.2</v>
      </c>
      <c r="H110" s="23" t="s">
        <v>106</v>
      </c>
    </row>
    <row r="111" ht="12">
      <c r="B111" s="3"/>
    </row>
    <row r="112" spans="2:5" ht="14.25">
      <c r="B112" s="2" t="s">
        <v>43</v>
      </c>
      <c r="C112" s="2" t="s">
        <v>91</v>
      </c>
      <c r="D112" s="2"/>
      <c r="E112" s="2"/>
    </row>
    <row r="113" spans="2:6" ht="12">
      <c r="B113" s="2"/>
      <c r="F113" s="23">
        <v>2</v>
      </c>
    </row>
    <row r="114" spans="3:8" ht="12">
      <c r="C114" s="5" t="s">
        <v>49</v>
      </c>
      <c r="D114" s="21">
        <f>WB</f>
        <v>214.43</v>
      </c>
      <c r="E114" s="21">
        <f>B</f>
        <v>1.3</v>
      </c>
      <c r="F114" s="5" t="s">
        <v>47</v>
      </c>
      <c r="G114" s="24">
        <f>ROUND(-1/12*WB*B^2,2)</f>
        <v>-30.2</v>
      </c>
      <c r="H114" s="23" t="s">
        <v>106</v>
      </c>
    </row>
    <row r="116" spans="1:4" ht="12">
      <c r="A116" s="2" t="s">
        <v>50</v>
      </c>
      <c r="B116" s="2"/>
      <c r="C116" s="2"/>
      <c r="D116" s="2"/>
    </row>
    <row r="118" spans="2:5" ht="12">
      <c r="B118" s="2" t="s">
        <v>42</v>
      </c>
      <c r="C118" s="2" t="s">
        <v>92</v>
      </c>
      <c r="D118" s="2"/>
      <c r="E118" s="2"/>
    </row>
    <row r="119" ht="12">
      <c r="B119" s="2"/>
    </row>
    <row r="120" spans="3:7" ht="12">
      <c r="C120" s="4" t="s">
        <v>51</v>
      </c>
      <c r="D120" s="21">
        <f>WL</f>
        <v>214.43</v>
      </c>
      <c r="E120" s="21">
        <f>L</f>
        <v>1.3</v>
      </c>
      <c r="F120" s="25"/>
      <c r="G120" s="26"/>
    </row>
    <row r="121" ht="12">
      <c r="B121" s="3"/>
    </row>
    <row r="122" spans="6:8" ht="12">
      <c r="F122" s="5" t="s">
        <v>47</v>
      </c>
      <c r="G122" s="24">
        <f>ROUND(1/2*WL*L,2)</f>
        <v>139.38</v>
      </c>
      <c r="H122" s="27" t="s">
        <v>107</v>
      </c>
    </row>
    <row r="124" spans="2:5" ht="12">
      <c r="B124" s="2" t="s">
        <v>43</v>
      </c>
      <c r="C124" s="2" t="s">
        <v>93</v>
      </c>
      <c r="D124" s="2"/>
      <c r="E124" s="2"/>
    </row>
    <row r="125" ht="12">
      <c r="B125" s="2"/>
    </row>
    <row r="126" spans="3:7" ht="12">
      <c r="C126" s="2" t="s">
        <v>52</v>
      </c>
      <c r="D126" s="21">
        <f>WB</f>
        <v>214.43</v>
      </c>
      <c r="E126" s="21">
        <f>B</f>
        <v>1.3</v>
      </c>
      <c r="F126" s="25"/>
      <c r="G126" s="26"/>
    </row>
    <row r="128" spans="6:8" ht="12">
      <c r="F128" s="5" t="s">
        <v>47</v>
      </c>
      <c r="G128" s="24">
        <f>ROUND(1/2*WB*B,2)</f>
        <v>139.38</v>
      </c>
      <c r="H128" s="27" t="s">
        <v>107</v>
      </c>
    </row>
    <row r="130" spans="1:3" ht="12">
      <c r="A130" s="2" t="s">
        <v>53</v>
      </c>
      <c r="B130" s="2"/>
      <c r="C130" s="2"/>
    </row>
    <row r="132" spans="2:6" ht="12">
      <c r="B132" s="2"/>
      <c r="C132" s="28" t="s">
        <v>54</v>
      </c>
      <c r="D132" s="3" t="s">
        <v>55</v>
      </c>
      <c r="E132" s="28" t="s">
        <v>56</v>
      </c>
      <c r="F132" s="3" t="s">
        <v>55</v>
      </c>
    </row>
    <row r="133" spans="2:6" ht="12.75" thickBot="1">
      <c r="B133" s="2"/>
      <c r="C133" s="29" t="s">
        <v>57</v>
      </c>
      <c r="D133" s="30" t="s">
        <v>58</v>
      </c>
      <c r="E133" s="29" t="s">
        <v>57</v>
      </c>
      <c r="F133" s="30" t="s">
        <v>58</v>
      </c>
    </row>
    <row r="134" spans="2:6" ht="12">
      <c r="B134" s="31"/>
      <c r="C134" s="32"/>
      <c r="D134" s="33"/>
      <c r="E134" s="32"/>
      <c r="F134" s="33"/>
    </row>
    <row r="135" spans="2:6" ht="12">
      <c r="B135" s="2" t="s">
        <v>59</v>
      </c>
      <c r="C135" s="34">
        <v>100</v>
      </c>
      <c r="D135" s="35">
        <v>100</v>
      </c>
      <c r="E135" s="34">
        <v>100</v>
      </c>
      <c r="F135" s="35">
        <v>100</v>
      </c>
    </row>
    <row r="136" spans="2:6" ht="12">
      <c r="B136" s="36"/>
      <c r="C136" s="37"/>
      <c r="D136" s="38"/>
      <c r="E136" s="37"/>
      <c r="F136" s="38"/>
    </row>
    <row r="137" spans="2:6" ht="12">
      <c r="B137" s="2" t="s">
        <v>60</v>
      </c>
      <c r="C137" s="34">
        <f>T/10</f>
        <v>50</v>
      </c>
      <c r="D137" s="35">
        <f>T/10</f>
        <v>50</v>
      </c>
      <c r="E137" s="34">
        <f>T/10</f>
        <v>50</v>
      </c>
      <c r="F137" s="35">
        <f>T/10</f>
        <v>50</v>
      </c>
    </row>
    <row r="138" spans="2:6" ht="12">
      <c r="B138" s="2"/>
      <c r="C138" s="39"/>
      <c r="D138" s="40"/>
      <c r="E138" s="39"/>
      <c r="F138" s="40"/>
    </row>
    <row r="139" spans="2:6" ht="12">
      <c r="B139" s="2" t="s">
        <v>61</v>
      </c>
      <c r="C139" s="65">
        <v>10</v>
      </c>
      <c r="D139" s="66">
        <v>10</v>
      </c>
      <c r="E139" s="65">
        <v>10</v>
      </c>
      <c r="F139" s="66">
        <v>10</v>
      </c>
    </row>
    <row r="140" spans="2:6" ht="12">
      <c r="B140" s="2"/>
      <c r="C140" s="39"/>
      <c r="D140" s="40"/>
      <c r="E140" s="39"/>
      <c r="F140" s="40"/>
    </row>
    <row r="141" spans="2:6" ht="12">
      <c r="B141" s="2" t="s">
        <v>62</v>
      </c>
      <c r="C141" s="39">
        <f>C137-C139</f>
        <v>40</v>
      </c>
      <c r="D141" s="40">
        <f>D137-D139</f>
        <v>40</v>
      </c>
      <c r="E141" s="39">
        <f>E137-E139</f>
        <v>40</v>
      </c>
      <c r="F141" s="40">
        <f>F137-F139</f>
        <v>40</v>
      </c>
    </row>
    <row r="142" spans="2:6" ht="12">
      <c r="B142" s="36" t="s">
        <v>63</v>
      </c>
      <c r="C142" s="41"/>
      <c r="D142" s="42"/>
      <c r="E142" s="41"/>
      <c r="F142" s="42"/>
    </row>
    <row r="143" spans="2:6" ht="12">
      <c r="B143" s="5" t="s">
        <v>64</v>
      </c>
      <c r="C143" s="67">
        <v>13</v>
      </c>
      <c r="D143" s="68">
        <v>13</v>
      </c>
      <c r="E143" s="67">
        <v>13</v>
      </c>
      <c r="F143" s="68">
        <v>13</v>
      </c>
    </row>
    <row r="144" spans="2:6" ht="12">
      <c r="B144" s="2"/>
      <c r="C144" s="39"/>
      <c r="D144" s="40"/>
      <c r="E144" s="39"/>
      <c r="F144" s="40"/>
    </row>
    <row r="145" spans="2:6" ht="12">
      <c r="B145" s="5" t="s">
        <v>65</v>
      </c>
      <c r="C145" s="69">
        <v>250</v>
      </c>
      <c r="D145" s="70">
        <v>250</v>
      </c>
      <c r="E145" s="69">
        <v>250</v>
      </c>
      <c r="F145" s="70">
        <v>250</v>
      </c>
    </row>
    <row r="146" spans="2:6" ht="12">
      <c r="B146" s="2"/>
      <c r="C146" s="39"/>
      <c r="D146" s="40"/>
      <c r="E146" s="39"/>
      <c r="F146" s="40"/>
    </row>
    <row r="147" spans="2:6" ht="12">
      <c r="B147" s="2" t="s">
        <v>66</v>
      </c>
      <c r="C147" s="39">
        <f>ROUND(1000/C145*(LOOKUP(C143,RF)),2)</f>
        <v>5.07</v>
      </c>
      <c r="D147" s="40">
        <f>ROUND(1000/D145*(LOOKUP(D143,RF)),2)</f>
        <v>5.07</v>
      </c>
      <c r="E147" s="39">
        <f>ROUND(1000/E145*(LOOKUP(E143,RF)),2)</f>
        <v>5.07</v>
      </c>
      <c r="F147" s="40">
        <f>ROUND(1000/F145*(LOOKUP(F143,RF)),2)</f>
        <v>5.07</v>
      </c>
    </row>
    <row r="148" spans="2:6" ht="12">
      <c r="B148" s="36"/>
      <c r="C148" s="41"/>
      <c r="D148" s="42"/>
      <c r="E148" s="41"/>
      <c r="F148" s="42"/>
    </row>
    <row r="149" spans="2:6" ht="12">
      <c r="B149" s="2" t="s">
        <v>67</v>
      </c>
      <c r="C149" s="43">
        <f>ROUND(C147/(C135*C141),6)</f>
        <v>0.001268</v>
      </c>
      <c r="D149" s="44">
        <f>ROUND(D147/(D135*D141),6)</f>
        <v>0.001268</v>
      </c>
      <c r="E149" s="43">
        <f>ROUND(E147/(E135*E141),6)</f>
        <v>0.001268</v>
      </c>
      <c r="F149" s="44">
        <f>ROUND(F147/(F135*F141),6)</f>
        <v>0.001268</v>
      </c>
    </row>
    <row r="150" spans="2:6" ht="12">
      <c r="B150" s="2"/>
      <c r="C150" s="39"/>
      <c r="D150" s="40"/>
      <c r="E150" s="39"/>
      <c r="F150" s="40"/>
    </row>
    <row r="151" spans="2:6" ht="12">
      <c r="B151" s="2" t="s">
        <v>108</v>
      </c>
      <c r="C151" s="45">
        <f>MLC</f>
        <v>15.1</v>
      </c>
      <c r="D151" s="46">
        <f>MLT</f>
        <v>-30.2</v>
      </c>
      <c r="E151" s="45">
        <f>MBC</f>
        <v>15.1</v>
      </c>
      <c r="F151" s="46">
        <f>MBT</f>
        <v>-30.2</v>
      </c>
    </row>
    <row r="152" spans="2:6" ht="12">
      <c r="B152" s="2"/>
      <c r="C152" s="45"/>
      <c r="D152" s="46"/>
      <c r="E152" s="45"/>
      <c r="F152" s="46"/>
    </row>
    <row r="153" spans="2:6" ht="12">
      <c r="B153" s="2" t="s">
        <v>109</v>
      </c>
      <c r="C153" s="45">
        <v>0</v>
      </c>
      <c r="D153" s="46">
        <f>SL</f>
        <v>139.38</v>
      </c>
      <c r="E153" s="45">
        <v>0</v>
      </c>
      <c r="F153" s="46">
        <f>SB</f>
        <v>139.38</v>
      </c>
    </row>
    <row r="154" spans="2:6" ht="12">
      <c r="B154" s="2"/>
      <c r="C154" s="39"/>
      <c r="D154" s="40"/>
      <c r="E154" s="39"/>
      <c r="F154" s="40"/>
    </row>
    <row r="155" spans="2:6" ht="12">
      <c r="B155" s="2" t="s">
        <v>68</v>
      </c>
      <c r="C155" s="47">
        <f>ROUND(SQRT(2*15*C149+(15*C149)^2)-15*C149,4)</f>
        <v>0.1769</v>
      </c>
      <c r="D155" s="48">
        <f>ROUND(SQRT(2*15*D149+(15*D149)^2)-15*D149,4)</f>
        <v>0.1769</v>
      </c>
      <c r="E155" s="47">
        <f>ROUND(SQRT(2*15*E149+(15*E149)^2)-15*E149,4)</f>
        <v>0.1769</v>
      </c>
      <c r="F155" s="48">
        <f>ROUND(SQRT(2*15*F149+(15*F149)^2)-15*F149,4)</f>
        <v>0.1769</v>
      </c>
    </row>
    <row r="156" spans="2:6" ht="12">
      <c r="B156" s="2"/>
      <c r="C156" s="47"/>
      <c r="D156" s="48"/>
      <c r="E156" s="47"/>
      <c r="F156" s="48"/>
    </row>
    <row r="157" spans="2:6" ht="12">
      <c r="B157" s="2" t="s">
        <v>69</v>
      </c>
      <c r="C157" s="47">
        <f>ROUND(1-C155/3,4)</f>
        <v>0.941</v>
      </c>
      <c r="D157" s="48">
        <f>ROUND(1-D155/3,4)</f>
        <v>0.941</v>
      </c>
      <c r="E157" s="47">
        <f>ROUND(1-E155/3,4)</f>
        <v>0.941</v>
      </c>
      <c r="F157" s="48">
        <f>ROUND(1-F155/3,4)</f>
        <v>0.941</v>
      </c>
    </row>
    <row r="158" spans="2:6" ht="12">
      <c r="B158" s="2"/>
      <c r="C158" s="47"/>
      <c r="D158" s="48"/>
      <c r="E158" s="47"/>
      <c r="F158" s="48"/>
    </row>
    <row r="159" spans="2:6" ht="14.25">
      <c r="B159" s="2" t="s">
        <v>94</v>
      </c>
      <c r="C159" s="47">
        <f>ABS(ROUND(C151*1000*1000/(C135*C141^2*1000),4))</f>
        <v>0.0944</v>
      </c>
      <c r="D159" s="48">
        <f>ABS(ROUND(D151*1000*1000/(D135*D141^2*1000),4))</f>
        <v>0.1888</v>
      </c>
      <c r="E159" s="47">
        <f>ABS(ROUND(E151*1000*1000/(E135*E141^2*1000),4))</f>
        <v>0.0944</v>
      </c>
      <c r="F159" s="48">
        <f>ABS(ROUND(F151*1000*1000/(F135*F141^2*1000),4))</f>
        <v>0.1888</v>
      </c>
    </row>
    <row r="160" spans="2:6" ht="12">
      <c r="B160" s="2"/>
      <c r="C160" s="39"/>
      <c r="D160" s="40"/>
      <c r="E160" s="39"/>
      <c r="F160" s="40"/>
    </row>
    <row r="161" spans="2:6" ht="12">
      <c r="B161" s="2" t="s">
        <v>70</v>
      </c>
      <c r="C161" s="39">
        <f>ROUND(2/(C155*C157),3)</f>
        <v>12.015</v>
      </c>
      <c r="D161" s="40">
        <f>ROUND(2/(D155*D157),3)</f>
        <v>12.015</v>
      </c>
      <c r="E161" s="39">
        <f>ROUND(2/(E155*E157),3)</f>
        <v>12.015</v>
      </c>
      <c r="F161" s="40">
        <f>ROUND(2/(F155*F157),3)</f>
        <v>12.015</v>
      </c>
    </row>
    <row r="162" spans="2:6" ht="12">
      <c r="B162" s="2"/>
      <c r="C162" s="39"/>
      <c r="D162" s="40"/>
      <c r="E162" s="39"/>
      <c r="F162" s="40"/>
    </row>
    <row r="163" spans="2:6" ht="12">
      <c r="B163" s="2" t="s">
        <v>71</v>
      </c>
      <c r="C163" s="39">
        <f>ROUND(1/(C149*C157),3)</f>
        <v>838.091</v>
      </c>
      <c r="D163" s="40">
        <f>ROUND(1/(D149*D157),3)</f>
        <v>838.091</v>
      </c>
      <c r="E163" s="39">
        <f>ROUND(1/(E149*E157),3)</f>
        <v>838.091</v>
      </c>
      <c r="F163" s="40">
        <f>ROUND(1/(F149*F157),3)</f>
        <v>838.091</v>
      </c>
    </row>
    <row r="164" spans="2:6" ht="12">
      <c r="B164" s="2"/>
      <c r="C164" s="39"/>
      <c r="D164" s="40"/>
      <c r="E164" s="39"/>
      <c r="F164" s="40"/>
    </row>
    <row r="165" spans="1:6" ht="12">
      <c r="A165" s="2" t="s">
        <v>111</v>
      </c>
      <c r="B165" s="2"/>
      <c r="C165" s="34">
        <f>ROUND(C159*C161,0)</f>
        <v>1</v>
      </c>
      <c r="D165" s="35">
        <f>ROUND(D159*D161,0)</f>
        <v>2</v>
      </c>
      <c r="E165" s="34">
        <f>ROUND(E159*E161,0)</f>
        <v>1</v>
      </c>
      <c r="F165" s="35">
        <f>ROUND(F159*F161,0)</f>
        <v>2</v>
      </c>
    </row>
    <row r="166" spans="1:6" ht="12">
      <c r="A166" s="2"/>
      <c r="B166" s="2"/>
      <c r="C166" s="34"/>
      <c r="D166" s="35"/>
      <c r="E166" s="34"/>
      <c r="F166" s="35"/>
    </row>
    <row r="167" spans="1:6" ht="12">
      <c r="A167" s="2" t="s">
        <v>112</v>
      </c>
      <c r="B167" s="2"/>
      <c r="C167" s="34">
        <f>ROUND(C159*C163,0)</f>
        <v>79</v>
      </c>
      <c r="D167" s="35">
        <f>ROUND(D159*D163,0)</f>
        <v>158</v>
      </c>
      <c r="E167" s="34">
        <f>ROUND(E159*E163,0)</f>
        <v>79</v>
      </c>
      <c r="F167" s="35">
        <f>ROUND(F159*F163,0)</f>
        <v>158</v>
      </c>
    </row>
    <row r="168" spans="1:6" ht="12">
      <c r="A168" s="2"/>
      <c r="B168" s="2"/>
      <c r="C168" s="39"/>
      <c r="D168" s="40"/>
      <c r="E168" s="39"/>
      <c r="F168" s="40"/>
    </row>
    <row r="169" spans="1:6" ht="12.75" thickBot="1">
      <c r="A169" s="2" t="s">
        <v>113</v>
      </c>
      <c r="B169" s="2"/>
      <c r="C169" s="45">
        <f>ROUND(C153*1000/(C135*C141*100),2)</f>
        <v>0</v>
      </c>
      <c r="D169" s="46">
        <f>ROUND(D153*1000/(D135*D141*100),2)</f>
        <v>0.35</v>
      </c>
      <c r="E169" s="45">
        <f>ROUND(E153*1000/(E135*E141*100),2)</f>
        <v>0</v>
      </c>
      <c r="F169" s="46">
        <f>ROUND(F153*1000/(F135*F141*100),2)</f>
        <v>0.35</v>
      </c>
    </row>
    <row r="170" spans="2:6" ht="12">
      <c r="B170" s="31"/>
      <c r="C170" s="31"/>
      <c r="D170" s="31"/>
      <c r="E170" s="31"/>
      <c r="F170" s="31"/>
    </row>
    <row r="171" spans="2:6" ht="14.25">
      <c r="B171" s="2" t="s">
        <v>72</v>
      </c>
      <c r="C171" s="2"/>
      <c r="D171" s="2" t="s">
        <v>95</v>
      </c>
      <c r="E171" s="2"/>
      <c r="F171" s="2"/>
    </row>
    <row r="173" spans="2:6" ht="14.25">
      <c r="B173" s="2" t="s">
        <v>95</v>
      </c>
      <c r="C173" s="2"/>
      <c r="D173" s="2"/>
      <c r="E173" s="2" t="s">
        <v>110</v>
      </c>
      <c r="F173" s="2"/>
    </row>
    <row r="175" spans="2:7" ht="14.25">
      <c r="B175" s="2" t="s">
        <v>73</v>
      </c>
      <c r="C175" s="2"/>
      <c r="D175" s="2"/>
      <c r="E175" s="2"/>
      <c r="F175" s="14">
        <f>CCA</f>
        <v>8</v>
      </c>
      <c r="G175" s="2" t="s">
        <v>105</v>
      </c>
    </row>
    <row r="176" spans="2:5" ht="12">
      <c r="B176" s="2"/>
      <c r="C176" s="2"/>
      <c r="D176" s="2"/>
      <c r="E176" s="2"/>
    </row>
    <row r="177" spans="2:7" ht="14.25">
      <c r="B177" s="2" t="s">
        <v>74</v>
      </c>
      <c r="C177" s="2"/>
      <c r="D177" s="2"/>
      <c r="E177" s="2"/>
      <c r="F177" s="2">
        <f>TA</f>
        <v>0.39</v>
      </c>
      <c r="G177" s="2" t="s">
        <v>105</v>
      </c>
    </row>
    <row r="178" spans="2:5" ht="12">
      <c r="B178" s="2"/>
      <c r="C178" s="2"/>
      <c r="D178" s="2"/>
      <c r="E178" s="2"/>
    </row>
    <row r="179" spans="2:7" ht="14.25">
      <c r="B179" s="2" t="s">
        <v>75</v>
      </c>
      <c r="C179" s="2"/>
      <c r="D179" s="2"/>
      <c r="E179" s="2"/>
      <c r="F179" s="15">
        <f>CSA</f>
        <v>180</v>
      </c>
      <c r="G179" s="2" t="s">
        <v>105</v>
      </c>
    </row>
    <row r="182" spans="1:3" ht="12">
      <c r="A182" s="2" t="s">
        <v>76</v>
      </c>
      <c r="C182" s="2"/>
    </row>
    <row r="183" spans="1:7" ht="12.75" thickBot="1">
      <c r="A183" s="2"/>
      <c r="B183" s="2"/>
      <c r="C183" s="2"/>
      <c r="D183" s="2"/>
      <c r="E183" s="2"/>
      <c r="F183" s="2"/>
      <c r="G183" s="2"/>
    </row>
    <row r="184" spans="1:13" ht="12">
      <c r="A184" s="32" t="s">
        <v>77</v>
      </c>
      <c r="B184" s="31"/>
      <c r="C184" s="49">
        <v>10</v>
      </c>
      <c r="D184" s="49">
        <v>13</v>
      </c>
      <c r="E184" s="49">
        <v>16</v>
      </c>
      <c r="F184" s="49">
        <v>19</v>
      </c>
      <c r="G184" s="49">
        <v>22</v>
      </c>
      <c r="H184" s="50">
        <v>25</v>
      </c>
      <c r="I184" s="51">
        <v>25</v>
      </c>
      <c r="J184" s="51">
        <v>29</v>
      </c>
      <c r="K184" s="51">
        <v>32</v>
      </c>
      <c r="L184" s="51">
        <v>35</v>
      </c>
      <c r="M184" s="51">
        <v>38</v>
      </c>
    </row>
    <row r="185" spans="1:13" ht="12">
      <c r="A185" s="41" t="s">
        <v>78</v>
      </c>
      <c r="B185" s="36" t="s">
        <v>79</v>
      </c>
      <c r="C185" s="52">
        <v>0.56</v>
      </c>
      <c r="D185" s="52">
        <v>0.995</v>
      </c>
      <c r="E185" s="52">
        <v>1.56</v>
      </c>
      <c r="F185" s="52">
        <v>2.25</v>
      </c>
      <c r="G185" s="52">
        <v>3.04</v>
      </c>
      <c r="H185" s="50">
        <v>3.98</v>
      </c>
      <c r="I185" s="51">
        <v>3.98</v>
      </c>
      <c r="J185" s="51">
        <v>5.04</v>
      </c>
      <c r="K185" s="51">
        <v>6.23</v>
      </c>
      <c r="L185" s="51">
        <v>7.51</v>
      </c>
      <c r="M185" s="51">
        <v>8.95</v>
      </c>
    </row>
    <row r="186" spans="1:13" ht="12.75" thickBot="1">
      <c r="A186" s="41" t="s">
        <v>80</v>
      </c>
      <c r="B186" s="36" t="s">
        <v>81</v>
      </c>
      <c r="C186" s="52">
        <v>0.7133</v>
      </c>
      <c r="D186" s="52">
        <v>1.267</v>
      </c>
      <c r="E186" s="52">
        <v>1.986</v>
      </c>
      <c r="F186" s="52">
        <v>2.865</v>
      </c>
      <c r="G186" s="52">
        <v>3.871</v>
      </c>
      <c r="H186" s="50">
        <v>5.067</v>
      </c>
      <c r="I186" s="51">
        <v>5.067</v>
      </c>
      <c r="J186" s="51">
        <v>6.424</v>
      </c>
      <c r="K186" s="51">
        <v>7.942</v>
      </c>
      <c r="L186" s="51">
        <v>9.566</v>
      </c>
      <c r="M186" s="51">
        <v>11.4</v>
      </c>
    </row>
    <row r="187" spans="1:7" ht="12.75" thickBot="1">
      <c r="A187" s="31"/>
      <c r="B187" s="31"/>
      <c r="C187" s="31"/>
      <c r="D187" s="31"/>
      <c r="E187" s="31"/>
      <c r="F187" s="31"/>
      <c r="G187" s="31"/>
    </row>
    <row r="188" spans="1:8" ht="12">
      <c r="A188" s="32" t="s">
        <v>77</v>
      </c>
      <c r="B188" s="31"/>
      <c r="C188" s="49">
        <v>25</v>
      </c>
      <c r="D188" s="49">
        <v>29</v>
      </c>
      <c r="E188" s="49">
        <v>32</v>
      </c>
      <c r="F188" s="49">
        <v>35</v>
      </c>
      <c r="G188" s="49">
        <v>38</v>
      </c>
      <c r="H188" s="39"/>
    </row>
    <row r="189" spans="1:8" ht="12">
      <c r="A189" s="41" t="s">
        <v>78</v>
      </c>
      <c r="B189" s="36" t="s">
        <v>79</v>
      </c>
      <c r="C189" s="42">
        <v>3.98</v>
      </c>
      <c r="D189" s="42">
        <v>5.04</v>
      </c>
      <c r="E189" s="42">
        <v>6.23</v>
      </c>
      <c r="F189" s="42">
        <v>7.51</v>
      </c>
      <c r="G189" s="42">
        <v>8.95</v>
      </c>
      <c r="H189" s="39"/>
    </row>
    <row r="190" spans="1:8" ht="12.75" thickBot="1">
      <c r="A190" s="41" t="s">
        <v>80</v>
      </c>
      <c r="B190" s="36" t="s">
        <v>81</v>
      </c>
      <c r="C190" s="42">
        <v>5.067</v>
      </c>
      <c r="D190" s="42">
        <v>6.424</v>
      </c>
      <c r="E190" s="42">
        <v>7.942</v>
      </c>
      <c r="F190" s="42">
        <v>9.566</v>
      </c>
      <c r="G190" s="42">
        <v>11.4</v>
      </c>
      <c r="H190" s="39"/>
    </row>
    <row r="191" spans="1:7" ht="12">
      <c r="A191" s="31"/>
      <c r="B191" s="31"/>
      <c r="C191" s="31"/>
      <c r="D191" s="31"/>
      <c r="E191" s="31"/>
      <c r="F191" s="31"/>
      <c r="G191" s="31"/>
    </row>
  </sheetData>
  <printOptions/>
  <pageMargins left="0.75" right="0.83" top="0.52" bottom="0.52" header="0.5" footer="0.5"/>
  <pageSetup horizontalDpi="600" verticalDpi="600" orientation="portrait" paperSize="9" r:id="rId2"/>
  <rowBreaks count="4" manualBreakCount="4">
    <brk id="53" max="65535" man="1"/>
    <brk id="93" max="65535" man="1"/>
    <brk id="129" max="65535" man="1"/>
    <brk id="18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四辺自由床版構造計算</dc:title>
  <dc:subject/>
  <dc:creator>株式会社オガワ設計技術</dc:creator>
  <cp:keywords/>
  <dc:description/>
  <cp:lastModifiedBy>K-OGAWA</cp:lastModifiedBy>
  <cp:lastPrinted>2007-06-21T05:58:17Z</cp:lastPrinted>
  <dcterms:created xsi:type="dcterms:W3CDTF">2007-06-21T07:02:57Z</dcterms:created>
  <dcterms:modified xsi:type="dcterms:W3CDTF">2008-07-23T05:17:53Z</dcterms:modified>
  <cp:category/>
  <cp:version/>
  <cp:contentType/>
  <cp:contentStatus/>
</cp:coreProperties>
</file>