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設計計算書（Excel等通常使用）\公開用（パスワード設定）\"/>
    </mc:Choice>
  </mc:AlternateContent>
  <xr:revisionPtr revIDLastSave="0" documentId="13_ncr:1_{638D3EFD-C053-49C5-B04E-E6EB13306E37}" xr6:coauthVersionLast="47" xr6:coauthVersionMax="47" xr10:uidLastSave="{00000000-0000-0000-0000-000000000000}"/>
  <bookViews>
    <workbookView xWindow="1740" yWindow="1335" windowWidth="23385" windowHeight="14145" xr2:uid="{00000000-000D-0000-FFFF-FFFF00000000}"/>
  </bookViews>
  <sheets>
    <sheet name="データー入力" sheetId="1" r:id="rId1"/>
    <sheet name="出力シート" sheetId="2" r:id="rId2"/>
    <sheet name="編集時" sheetId="3" r:id="rId3"/>
  </sheets>
  <externalReferences>
    <externalReference r:id="rId4"/>
  </externalReferences>
  <definedNames>
    <definedName name="_CC1" localSheetId="2">[1]データー入力!$F$75</definedName>
    <definedName name="_CC1">データー入力!$F$73</definedName>
    <definedName name="_CC2" localSheetId="2">[1]データー入力!$F$83</definedName>
    <definedName name="_CC2">データー入力!$F$81</definedName>
    <definedName name="_j2" localSheetId="2">[1]データー入力!$D$129</definedName>
    <definedName name="_j2">データー入力!$D$127</definedName>
    <definedName name="_k2" localSheetId="2">[1]データー入力!$D$128</definedName>
    <definedName name="_k2">データー入力!$D$126</definedName>
    <definedName name="_M1" localSheetId="2">[1]データー入力!$G$61</definedName>
    <definedName name="_M1">データー入力!$G$59</definedName>
    <definedName name="_M2" localSheetId="2">[1]データー入力!$G$66</definedName>
    <definedName name="_M2">データー入力!$H$64</definedName>
    <definedName name="AS" localSheetId="2">[1]データー入力!$D$89</definedName>
    <definedName name="AS">データー入力!$D$87</definedName>
    <definedName name="FS" localSheetId="2">[1]データー入力!$D$100</definedName>
    <definedName name="FS">データー入力!$D$98</definedName>
    <definedName name="H" localSheetId="2">[1]データー入力!$E$43</definedName>
    <definedName name="H">データー入力!$E$41</definedName>
    <definedName name="J" localSheetId="2">[1]データー入力!$D$110</definedName>
    <definedName name="J">データー入力!$D$108</definedName>
    <definedName name="K" localSheetId="2">[1]データー入力!$D$109</definedName>
    <definedName name="K">データー入力!$D$107</definedName>
    <definedName name="MD" localSheetId="2">[1]データー入力!$G$56</definedName>
    <definedName name="MD">データー入力!$G$54</definedName>
    <definedName name="MLI" localSheetId="2">[1]データー入力!$H$38</definedName>
    <definedName name="MLI">データー入力!$I$36</definedName>
    <definedName name="_xlnm.Print_Area" localSheetId="0">データー入力!$B$6:$J$140</definedName>
    <definedName name="_xlnm.Print_Area" localSheetId="1">出力シート!$A$1:$I$122</definedName>
    <definedName name="RF">データー入力!$C$124:$M$125</definedName>
    <definedName name="SD" localSheetId="2">[1]データー入力!$H$78</definedName>
    <definedName name="SD">データー入力!$H$76</definedName>
    <definedName name="W">データー入力!$G$50</definedName>
    <definedName name="WW" localSheetId="2">[1]データー入力!$G$51</definedName>
    <definedName name="WW">データー入力!$G$49</definedName>
    <definedName name="σc" localSheetId="2">[1]データー入力!$J$121</definedName>
    <definedName name="σc">データー入力!$J$119</definedName>
    <definedName name="σc2" localSheetId="2">[1]データー入力!$J$140</definedName>
    <definedName name="σc2">データー入力!$J$138</definedName>
    <definedName name="σca" localSheetId="2">[1]データー入力!$F$15</definedName>
    <definedName name="σca">データー入力!$F$15</definedName>
    <definedName name="σs" localSheetId="2">[1]データー入力!$H$115</definedName>
    <definedName name="σs">データー入力!$H$113</definedName>
    <definedName name="σs2" localSheetId="2">[1]データー入力!$I$134</definedName>
    <definedName name="σs2">データー入力!$I$132</definedName>
    <definedName name="σsa" localSheetId="2">[1]データー入力!$F$16</definedName>
    <definedName name="σsa">データー入力!$F$16</definedName>
    <definedName name="かぶり" localSheetId="2">[1]データー入力!$D$78</definedName>
    <definedName name="かぶり">データー入力!$D$76</definedName>
    <definedName name="支間" localSheetId="2">[1]データー入力!$G$11</definedName>
    <definedName name="支間">データー入力!$G$11</definedName>
    <definedName name="支間方向鉄筋間隔" localSheetId="2">[1]データー入力!$E$87</definedName>
    <definedName name="支間方向鉄筋間隔">データー入力!$E$85</definedName>
    <definedName name="支間方向鉄筋径" localSheetId="2">[1]データー入力!$D$87</definedName>
    <definedName name="支間方向鉄筋径">データー入力!$D$85</definedName>
    <definedName name="床版厚" localSheetId="2">[1]データー入力!$E$43</definedName>
    <definedName name="床版厚">データー入力!$E$41</definedName>
    <definedName name="直角方向鉄筋間隔" localSheetId="2">[1]データー入力!$E$98</definedName>
    <definedName name="直角方向鉄筋間隔">データー入力!$E$96</definedName>
    <definedName name="直角方向鉄筋径" localSheetId="2">[1]データー入力!$D$98</definedName>
    <definedName name="直角方向鉄筋径">データー入力!$D$96</definedName>
    <definedName name="鉄筋表1" localSheetId="2">[1]データー入力!$D$145:$H$146</definedName>
    <definedName name="鉄筋表1">データー入力!$D$143:$H$144</definedName>
    <definedName name="鉄筋表2" localSheetId="2">[1]データー入力!$D$148:$H$149</definedName>
    <definedName name="鉄筋表2">データー入力!$D$146:$H$147</definedName>
    <definedName name="幅員" localSheetId="2">[1]データー入力!$G$12</definedName>
    <definedName name="幅員">データー入力!$G$12</definedName>
    <definedName name="舗装厚" localSheetId="2">[1]データー入力!$G$13</definedName>
    <definedName name="舗装厚">データー入力!$G$13</definedName>
    <definedName name="舗装種別" localSheetId="2">[1]データー入力!$F$3</definedName>
    <definedName name="舗装種別">データー入力!$F$3</definedName>
    <definedName name="有効厚" localSheetId="2">[1]データー入力!$H$78</definedName>
    <definedName name="有効厚">データー入力!$H$76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" i="2" l="1"/>
  <c r="K18" i="2"/>
  <c r="K16" i="2"/>
  <c r="K14" i="2"/>
  <c r="I13" i="1"/>
  <c r="C36" i="1"/>
  <c r="I36" i="1"/>
  <c r="E45" i="1"/>
  <c r="G45" i="1"/>
  <c r="G49" i="1" s="1"/>
  <c r="I45" i="1"/>
  <c r="G47" i="1"/>
  <c r="C64" i="1"/>
  <c r="H64" i="1"/>
  <c r="F73" i="1"/>
  <c r="F76" i="1"/>
  <c r="H76" i="1" s="1"/>
  <c r="C68" i="2" s="1"/>
  <c r="F81" i="1"/>
  <c r="D95" i="1" s="1"/>
  <c r="D86" i="1"/>
  <c r="D87" i="1" s="1"/>
  <c r="F93" i="1"/>
  <c r="F95" i="1"/>
  <c r="D97" i="1"/>
  <c r="D98" i="1" s="1"/>
  <c r="H114" i="1"/>
  <c r="H120" i="1"/>
  <c r="H133" i="1"/>
  <c r="H139" i="1"/>
  <c r="G6" i="2"/>
  <c r="G7" i="2"/>
  <c r="G8" i="2"/>
  <c r="H8" i="2"/>
  <c r="F10" i="2"/>
  <c r="F11" i="2"/>
  <c r="C32" i="2"/>
  <c r="C37" i="2"/>
  <c r="C39" i="2"/>
  <c r="G39" i="2"/>
  <c r="I39" i="2"/>
  <c r="G41" i="2"/>
  <c r="C61" i="2"/>
  <c r="C72" i="2"/>
  <c r="C76" i="2"/>
  <c r="H91" i="2"/>
  <c r="H98" i="2"/>
  <c r="H112" i="2"/>
  <c r="H119" i="2"/>
  <c r="G125" i="1" l="1"/>
  <c r="D126" i="1" s="1"/>
  <c r="C104" i="2"/>
  <c r="C125" i="1"/>
  <c r="C83" i="2"/>
  <c r="C106" i="1"/>
  <c r="F106" i="1"/>
  <c r="D107" i="1" s="1"/>
  <c r="C54" i="1"/>
  <c r="G54" i="1"/>
  <c r="C59" i="1" s="1"/>
  <c r="G43" i="2"/>
  <c r="C49" i="2"/>
  <c r="D75" i="1"/>
  <c r="D83" i="1"/>
  <c r="I95" i="1"/>
  <c r="F98" i="1" s="1"/>
  <c r="H98" i="1" l="1"/>
  <c r="G59" i="1"/>
  <c r="C55" i="2"/>
  <c r="D127" i="1"/>
  <c r="C105" i="2"/>
  <c r="D108" i="1"/>
  <c r="C85" i="2" s="1"/>
  <c r="C84" i="2"/>
  <c r="C106" i="2" l="1"/>
  <c r="C132" i="1"/>
  <c r="I132" i="1"/>
  <c r="C111" i="2"/>
  <c r="C138" i="1"/>
  <c r="J138" i="1"/>
  <c r="C118" i="2"/>
  <c r="F75" i="1"/>
  <c r="H113" i="1"/>
  <c r="C97" i="2"/>
  <c r="F83" i="1"/>
  <c r="C119" i="1"/>
  <c r="J119" i="1"/>
  <c r="C90" i="2"/>
  <c r="C113" i="1"/>
  <c r="I83" i="1"/>
  <c r="I75" i="1"/>
  <c r="G91" i="2" l="1"/>
  <c r="I92" i="2"/>
  <c r="J114" i="1"/>
  <c r="G114" i="1"/>
  <c r="J139" i="1"/>
  <c r="G119" i="2"/>
  <c r="G139" i="1"/>
  <c r="I120" i="2"/>
  <c r="J133" i="1"/>
  <c r="G133" i="1"/>
  <c r="I113" i="2"/>
  <c r="G112" i="2"/>
  <c r="F87" i="1"/>
  <c r="E87" i="1"/>
  <c r="H87" i="1"/>
  <c r="G98" i="2"/>
  <c r="G120" i="1"/>
  <c r="I99" i="2"/>
  <c r="J120" i="1"/>
</calcChain>
</file>

<file path=xl/sharedStrings.xml><?xml version="1.0" encoding="utf-8"?>
<sst xmlns="http://schemas.openxmlformats.org/spreadsheetml/2006/main" count="214" uniqueCount="135">
  <si>
    <t>（ｱｽﾌｧﾙﾄ=1 ｺﾝｸﾘｰﾄ=2)</t>
  </si>
  <si>
    <t>１　設計条件</t>
  </si>
  <si>
    <t>支間方向</t>
  </si>
  <si>
    <t>車両進行方向に直角</t>
  </si>
  <si>
    <t>支間</t>
  </si>
  <si>
    <t>　　Ｌ＝</t>
  </si>
  <si>
    <t>ｍ</t>
  </si>
  <si>
    <t>幅員</t>
  </si>
  <si>
    <t>有効幅員</t>
  </si>
  <si>
    <t>　　Ｗ＝</t>
  </si>
  <si>
    <t>舗装</t>
  </si>
  <si>
    <t>平 均 厚</t>
  </si>
  <si>
    <t>　　ｔ＝</t>
  </si>
  <si>
    <t>ｃｍ</t>
  </si>
  <si>
    <t>荷重</t>
  </si>
  <si>
    <t>Ａ荷重</t>
  </si>
  <si>
    <t>許容応力度</t>
  </si>
  <si>
    <t>δｃａ ＝</t>
  </si>
  <si>
    <t>δｓａ ＝</t>
  </si>
  <si>
    <t>Ｗ</t>
  </si>
  <si>
    <t>Ｌ</t>
  </si>
  <si>
    <t>２　曲げモーメントの計算</t>
  </si>
  <si>
    <t>（スラブ幅１ｍ当り）</t>
  </si>
  <si>
    <t>　　１）</t>
  </si>
  <si>
    <t>支間方向曲げモーメント</t>
  </si>
  <si>
    <t>活荷重（衝撃を含む）による設計曲げモーメント：Ａ荷重のため20％低減する</t>
  </si>
  <si>
    <t>Ｌ：</t>
  </si>
  <si>
    <t>Ｔ荷重に対する床版の支間（m）</t>
  </si>
  <si>
    <t>Ｐ：</t>
  </si>
  <si>
    <t>死荷重による設計曲げモーメント</t>
  </si>
  <si>
    <t>　仮定スラブ厚　ｈ＝</t>
  </si>
  <si>
    <t>　橋面１平方ｍ当りの等分布荷重</t>
  </si>
  <si>
    <t>　舗      装</t>
  </si>
  <si>
    <r>
      <t>Ｗ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 xml:space="preserve"> ＝</t>
    </r>
  </si>
  <si>
    <t>　ス  ラ  ブ</t>
  </si>
  <si>
    <r>
      <t>Ｗ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 xml:space="preserve"> ＝</t>
    </r>
  </si>
  <si>
    <t>　合   計</t>
  </si>
  <si>
    <t>Ｗ  ＝</t>
  </si>
  <si>
    <t>等分布荷重による設計曲げモーメント</t>
  </si>
  <si>
    <r>
      <t xml:space="preserve">  Ｍ</t>
    </r>
    <r>
      <rPr>
        <sz val="9"/>
        <color indexed="8"/>
        <rFont val="ＭＳ 明朝"/>
        <family val="1"/>
        <charset val="128"/>
      </rPr>
      <t>ｄ</t>
    </r>
    <r>
      <rPr>
        <sz val="11"/>
        <color indexed="8"/>
        <rFont val="ＭＳ 明朝"/>
        <family val="1"/>
        <charset val="128"/>
      </rPr>
      <t>＝１／８・Ｗ・Ｌ</t>
    </r>
    <r>
      <rPr>
        <vertAlign val="superscript"/>
        <sz val="11"/>
        <color indexed="8"/>
        <rFont val="ＭＳ 明朝"/>
        <family val="1"/>
        <charset val="128"/>
      </rPr>
      <t>２</t>
    </r>
  </si>
  <si>
    <t>合計設計曲げモーメント</t>
  </si>
  <si>
    <r>
      <t xml:space="preserve">  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＝　Ｍ</t>
    </r>
    <r>
      <rPr>
        <sz val="9"/>
        <color indexed="8"/>
        <rFont val="ＭＳ 明朝"/>
        <family val="1"/>
        <charset val="128"/>
      </rPr>
      <t>ｌｉ</t>
    </r>
    <r>
      <rPr>
        <sz val="11"/>
        <color indexed="8"/>
        <rFont val="ＭＳ 明朝"/>
        <family val="1"/>
        <charset val="128"/>
      </rPr>
      <t>　＋　Ｍ</t>
    </r>
    <r>
      <rPr>
        <sz val="9"/>
        <color indexed="8"/>
        <rFont val="ＭＳ 明朝"/>
        <family val="1"/>
        <charset val="128"/>
      </rPr>
      <t>ｄ</t>
    </r>
  </si>
  <si>
    <t>　　２）</t>
  </si>
  <si>
    <t>支間直角方向曲げモーメント</t>
  </si>
  <si>
    <r>
      <t xml:space="preserve">  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＝0.80×（0.10Ｌ＋0.04）Ｐ</t>
    </r>
  </si>
  <si>
    <t>３　断面および鉄筋量の計算</t>
  </si>
  <si>
    <t>スラブ厚の計算</t>
  </si>
  <si>
    <t xml:space="preserve">             </t>
  </si>
  <si>
    <t>有効厚さ</t>
  </si>
  <si>
    <r>
      <t xml:space="preserve">       ｄ＝Ｃ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 xml:space="preserve"> ・  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／ｂ　　（ｃｍ）</t>
    </r>
  </si>
  <si>
    <r>
      <t>　Ｃ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：</t>
    </r>
  </si>
  <si>
    <t xml:space="preserve">                    </t>
  </si>
  <si>
    <t>　　ｄ＝</t>
  </si>
  <si>
    <t xml:space="preserve">   ×　 </t>
  </si>
  <si>
    <t>故にかぶり</t>
  </si>
  <si>
    <t>とし全厚</t>
  </si>
  <si>
    <t xml:space="preserve"> 有効厚</t>
  </si>
  <si>
    <t xml:space="preserve"> とする。</t>
  </si>
  <si>
    <t>支間方向鉄筋量の計算</t>
  </si>
  <si>
    <t xml:space="preserve">         </t>
  </si>
  <si>
    <r>
      <t xml:space="preserve">      Ａ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＝Ｃ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 xml:space="preserve"> ・  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・ｂ     （ｃ㎡）</t>
    </r>
  </si>
  <si>
    <r>
      <t>Ｃ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：</t>
    </r>
  </si>
  <si>
    <r>
      <t>　Ａ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</t>
    </r>
  </si>
  <si>
    <t>ｃ㎡</t>
  </si>
  <si>
    <t>故に鉄筋Ｄ</t>
  </si>
  <si>
    <t>ｃｍ 間隔に配置すると</t>
  </si>
  <si>
    <r>
      <t>　Ａ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′＝</t>
    </r>
  </si>
  <si>
    <t>　　３）</t>
  </si>
  <si>
    <t>支間直角方向鉄筋量の計算</t>
  </si>
  <si>
    <r>
      <t xml:space="preserve">      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＝Ｃ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・  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・ｂ     （ｃ㎡）</t>
    </r>
  </si>
  <si>
    <r>
      <t>　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</t>
    </r>
  </si>
  <si>
    <t xml:space="preserve">   ×　</t>
  </si>
  <si>
    <t>ｃｍ　間隔に配置すると</t>
  </si>
  <si>
    <r>
      <t>　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′＝</t>
    </r>
  </si>
  <si>
    <r>
      <t>＞Ｆ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</t>
    </r>
  </si>
  <si>
    <t>４　応力の点検</t>
  </si>
  <si>
    <r>
      <t xml:space="preserve">  Ｐ  ＝ Ａ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 xml:space="preserve"> ／ （ｂ・ｄ）</t>
    </r>
  </si>
  <si>
    <t>ｋ：</t>
  </si>
  <si>
    <t>ｊ：</t>
  </si>
  <si>
    <t>支間方向鉄筋の引張応力度</t>
  </si>
  <si>
    <r>
      <t xml:space="preserve">  δ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 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／（Ａｓ・ｊ・ｄ）</t>
    </r>
  </si>
  <si>
    <t>コンクリートの圧縮応力度</t>
  </si>
  <si>
    <t>支間直角方向</t>
  </si>
  <si>
    <r>
      <t>　Ｐ  ＝ 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 xml:space="preserve"> ／ （ｂ・ｄ）</t>
    </r>
  </si>
  <si>
    <t>支間直角方向鉄筋の引張応力度</t>
  </si>
  <si>
    <r>
      <t>　δ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 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／（Ｆ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・ｊ・ｄ）</t>
    </r>
  </si>
  <si>
    <t xml:space="preserve">  異径鉄筋断面積</t>
  </si>
  <si>
    <t>（ｃ㎡）</t>
  </si>
  <si>
    <t>鉄筋径 D</t>
  </si>
  <si>
    <t>断面積</t>
  </si>
  <si>
    <r>
      <t xml:space="preserve">  Ｍ</t>
    </r>
    <r>
      <rPr>
        <sz val="9"/>
        <color indexed="8"/>
        <rFont val="ＭＳ 明朝"/>
        <family val="1"/>
        <charset val="128"/>
      </rPr>
      <t>ｌｉ</t>
    </r>
    <r>
      <rPr>
        <sz val="11"/>
        <color indexed="8"/>
        <rFont val="ＭＳ 明朝"/>
        <family val="1"/>
        <charset val="128"/>
      </rPr>
      <t>＝0.80×（0.12Ｌ＋0.07）Ｐ（KN・ｍ）</t>
    </r>
    <phoneticPr fontId="12"/>
  </si>
  <si>
    <t>KN・m</t>
    <phoneticPr fontId="12"/>
  </si>
  <si>
    <t>Ｔ荷重の片側荷重（100KN）</t>
    <phoneticPr fontId="12"/>
  </si>
  <si>
    <t>鉄筋</t>
    <rPh sb="0" eb="2">
      <t>テッキン</t>
    </rPh>
    <phoneticPr fontId="12"/>
  </si>
  <si>
    <r>
      <t>KN/m</t>
    </r>
    <r>
      <rPr>
        <vertAlign val="superscript"/>
        <sz val="11"/>
        <color indexed="8"/>
        <rFont val="ＭＳ 明朝"/>
        <family val="1"/>
        <charset val="128"/>
      </rPr>
      <t>3</t>
    </r>
    <r>
      <rPr>
        <sz val="11"/>
        <color indexed="8"/>
        <rFont val="ＭＳ 明朝"/>
        <family val="1"/>
        <charset val="128"/>
      </rPr>
      <t>）</t>
    </r>
    <phoneticPr fontId="12"/>
  </si>
  <si>
    <t>KN／㎡</t>
    <phoneticPr fontId="12"/>
  </si>
  <si>
    <t>(24.5</t>
    <phoneticPr fontId="12"/>
  </si>
  <si>
    <r>
      <t>K</t>
    </r>
    <r>
      <rPr>
        <sz val="11"/>
        <rFont val="ＭＳ 明朝"/>
        <family val="1"/>
        <charset val="128"/>
      </rPr>
      <t>N・m</t>
    </r>
    <phoneticPr fontId="12"/>
  </si>
  <si>
    <t>× 1000 × 100　＝</t>
    <phoneticPr fontId="12"/>
  </si>
  <si>
    <t>× 1000 × 100　 ＝</t>
    <phoneticPr fontId="12"/>
  </si>
  <si>
    <t>×1000／100 ＝</t>
    <phoneticPr fontId="12"/>
  </si>
  <si>
    <t>コンクリート</t>
    <phoneticPr fontId="12"/>
  </si>
  <si>
    <r>
      <t>N／mm</t>
    </r>
    <r>
      <rPr>
        <vertAlign val="superscript"/>
        <sz val="11"/>
        <rFont val="ＭＳ 明朝"/>
        <family val="1"/>
        <charset val="128"/>
      </rPr>
      <t xml:space="preserve">2 </t>
    </r>
    <phoneticPr fontId="12"/>
  </si>
  <si>
    <t>舗装の種別</t>
    <phoneticPr fontId="12"/>
  </si>
  <si>
    <r>
      <t>N／mm</t>
    </r>
    <r>
      <rPr>
        <vertAlign val="superscript"/>
        <sz val="11"/>
        <rFont val="ＭＳ 明朝"/>
        <family val="1"/>
        <charset val="128"/>
      </rPr>
      <t>2</t>
    </r>
    <phoneticPr fontId="12"/>
  </si>
  <si>
    <t>部分にデーターを入力してください。</t>
    <rPh sb="0" eb="2">
      <t>ブブン</t>
    </rPh>
    <rPh sb="8" eb="10">
      <t>ニュウリョク</t>
    </rPh>
    <phoneticPr fontId="12"/>
  </si>
  <si>
    <r>
      <t>　δ</t>
    </r>
    <r>
      <rPr>
        <sz val="9"/>
        <color indexed="8"/>
        <rFont val="ＭＳ 明朝"/>
        <family val="1"/>
        <charset val="128"/>
      </rPr>
      <t>ｃ</t>
    </r>
    <r>
      <rPr>
        <sz val="11"/>
        <color indexed="8"/>
        <rFont val="ＭＳ 明朝"/>
        <family val="1"/>
        <charset val="128"/>
      </rPr>
      <t>＝ ２・Ｍ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／（ｋ・ｊ・ｂ・ｄ</t>
    </r>
    <r>
      <rPr>
        <vertAlign val="superscript"/>
        <sz val="11"/>
        <color indexed="8"/>
        <rFont val="ＭＳ 明朝"/>
        <family val="1"/>
        <charset val="128"/>
      </rPr>
      <t xml:space="preserve">2 </t>
    </r>
    <r>
      <rPr>
        <sz val="11"/>
        <color indexed="8"/>
        <rFont val="ＭＳ 明朝"/>
        <family val="1"/>
        <charset val="128"/>
      </rPr>
      <t>）</t>
    </r>
    <phoneticPr fontId="12"/>
  </si>
  <si>
    <r>
      <t>　δ</t>
    </r>
    <r>
      <rPr>
        <sz val="9"/>
        <color indexed="8"/>
        <rFont val="ＭＳ 明朝"/>
        <family val="1"/>
        <charset val="128"/>
      </rPr>
      <t>ｃ</t>
    </r>
    <r>
      <rPr>
        <sz val="11"/>
        <color indexed="8"/>
        <rFont val="ＭＳ 明朝"/>
        <family val="1"/>
        <charset val="128"/>
      </rPr>
      <t>＝ ２・Ｍ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／（ｋ・ｊ・ｂ・ｄ</t>
    </r>
    <r>
      <rPr>
        <vertAlign val="superscript"/>
        <sz val="11"/>
        <color indexed="8"/>
        <rFont val="ＭＳ 明朝"/>
        <family val="1"/>
        <charset val="128"/>
      </rPr>
      <t xml:space="preserve">2 </t>
    </r>
    <r>
      <rPr>
        <sz val="11"/>
        <color indexed="8"/>
        <rFont val="ＭＳ 明朝"/>
        <family val="1"/>
        <charset val="128"/>
      </rPr>
      <t>）</t>
    </r>
    <phoneticPr fontId="12"/>
  </si>
  <si>
    <t>コンクリート</t>
    <phoneticPr fontId="12"/>
  </si>
  <si>
    <r>
      <t>N／mm</t>
    </r>
    <r>
      <rPr>
        <vertAlign val="superscript"/>
        <sz val="11"/>
        <rFont val="ＭＳ 明朝"/>
        <family val="1"/>
        <charset val="128"/>
      </rPr>
      <t>2</t>
    </r>
    <phoneticPr fontId="12"/>
  </si>
  <si>
    <r>
      <t>N／mm</t>
    </r>
    <r>
      <rPr>
        <vertAlign val="superscript"/>
        <sz val="11"/>
        <rFont val="ＭＳ 明朝"/>
        <family val="1"/>
        <charset val="128"/>
      </rPr>
      <t>2</t>
    </r>
    <phoneticPr fontId="12"/>
  </si>
  <si>
    <r>
      <t xml:space="preserve">  Ｍ</t>
    </r>
    <r>
      <rPr>
        <sz val="9"/>
        <color indexed="8"/>
        <rFont val="ＭＳ 明朝"/>
        <family val="1"/>
        <charset val="128"/>
      </rPr>
      <t>ｌｉ</t>
    </r>
    <r>
      <rPr>
        <sz val="11"/>
        <color indexed="8"/>
        <rFont val="ＭＳ 明朝"/>
        <family val="1"/>
        <charset val="128"/>
      </rPr>
      <t>＝0.80×（0.12Ｌ＋0.07）Ｐ（KN・ｍ）</t>
    </r>
    <phoneticPr fontId="12"/>
  </si>
  <si>
    <r>
      <t>N／mm</t>
    </r>
    <r>
      <rPr>
        <vertAlign val="superscript"/>
        <sz val="11"/>
        <rFont val="ＭＳ 明朝"/>
        <family val="1"/>
        <charset val="128"/>
      </rPr>
      <t xml:space="preserve">2 </t>
    </r>
    <phoneticPr fontId="12"/>
  </si>
  <si>
    <r>
      <t>　δ</t>
    </r>
    <r>
      <rPr>
        <sz val="9"/>
        <color indexed="8"/>
        <rFont val="ＭＳ 明朝"/>
        <family val="1"/>
        <charset val="128"/>
      </rPr>
      <t>ｃ</t>
    </r>
    <r>
      <rPr>
        <sz val="11"/>
        <color indexed="8"/>
        <rFont val="ＭＳ 明朝"/>
        <family val="1"/>
        <charset val="128"/>
      </rPr>
      <t>＝ ２・Ｍ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／（ｋ・ｊ・ｂ・ｄ</t>
    </r>
    <r>
      <rPr>
        <vertAlign val="superscript"/>
        <sz val="11"/>
        <color indexed="8"/>
        <rFont val="ＭＳ 明朝"/>
        <family val="1"/>
        <charset val="128"/>
      </rPr>
      <t xml:space="preserve">2 </t>
    </r>
    <r>
      <rPr>
        <sz val="11"/>
        <color indexed="8"/>
        <rFont val="ＭＳ 明朝"/>
        <family val="1"/>
        <charset val="128"/>
      </rPr>
      <t>）</t>
    </r>
    <phoneticPr fontId="12"/>
  </si>
  <si>
    <r>
      <t>　δ</t>
    </r>
    <r>
      <rPr>
        <sz val="9"/>
        <color indexed="8"/>
        <rFont val="ＭＳ 明朝"/>
        <family val="1"/>
        <charset val="128"/>
      </rPr>
      <t>ｃ</t>
    </r>
    <r>
      <rPr>
        <sz val="11"/>
        <color indexed="8"/>
        <rFont val="ＭＳ 明朝"/>
        <family val="1"/>
        <charset val="128"/>
      </rPr>
      <t>＝ ２・Ｍ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／（ｋ・ｊ・ｂ・ｄ</t>
    </r>
    <r>
      <rPr>
        <vertAlign val="superscript"/>
        <sz val="11"/>
        <color indexed="8"/>
        <rFont val="ＭＳ 明朝"/>
        <family val="1"/>
        <charset val="128"/>
      </rPr>
      <t xml:space="preserve">2 </t>
    </r>
    <r>
      <rPr>
        <sz val="11"/>
        <color indexed="8"/>
        <rFont val="ＭＳ 明朝"/>
        <family val="1"/>
        <charset val="128"/>
      </rPr>
      <t>）</t>
    </r>
    <phoneticPr fontId="12"/>
  </si>
  <si>
    <t>単純床版の設計</t>
    <phoneticPr fontId="12"/>
  </si>
  <si>
    <t>単純床版の設計</t>
    <phoneticPr fontId="12"/>
  </si>
  <si>
    <t>計算は1.0ｍ当りで行います</t>
    <rPh sb="0" eb="2">
      <t>ケイサン</t>
    </rPh>
    <rPh sb="7" eb="8">
      <t>アタ</t>
    </rPh>
    <rPh sb="10" eb="11">
      <t>オコナ</t>
    </rPh>
    <phoneticPr fontId="12"/>
  </si>
  <si>
    <t>　　　Ｌ ： Ｔ荷重に対する床版の支間（m）</t>
    <phoneticPr fontId="12"/>
  </si>
  <si>
    <t>　　　Ｐ ： Ｔ荷重の片側荷重　（ 100 KN ）</t>
    <phoneticPr fontId="12"/>
  </si>
  <si>
    <t>合   計</t>
    <phoneticPr fontId="12"/>
  </si>
  <si>
    <r>
      <t>(24.5KN/m</t>
    </r>
    <r>
      <rPr>
        <vertAlign val="superscript"/>
        <sz val="10"/>
        <color indexed="8"/>
        <rFont val="ＭＳ 明朝"/>
        <family val="1"/>
        <charset val="128"/>
      </rPr>
      <t>3</t>
    </r>
    <r>
      <rPr>
        <sz val="10"/>
        <color indexed="8"/>
        <rFont val="ＭＳ 明朝"/>
        <family val="1"/>
        <charset val="128"/>
      </rPr>
      <t>）</t>
    </r>
    <phoneticPr fontId="12"/>
  </si>
  <si>
    <t>許容応力度</t>
    <phoneticPr fontId="12"/>
  </si>
  <si>
    <t>支　　間</t>
    <phoneticPr fontId="12"/>
  </si>
  <si>
    <t>幅　　員</t>
    <phoneticPr fontId="12"/>
  </si>
  <si>
    <t>舗　　装</t>
    <phoneticPr fontId="12"/>
  </si>
  <si>
    <t>荷　　重</t>
    <phoneticPr fontId="12"/>
  </si>
  <si>
    <t>m</t>
    <phoneticPr fontId="12"/>
  </si>
  <si>
    <r>
      <t xml:space="preserve">  Ｍ</t>
    </r>
    <r>
      <rPr>
        <sz val="9"/>
        <color indexed="8"/>
        <rFont val="ＭＳ 明朝"/>
        <family val="1"/>
        <charset val="128"/>
      </rPr>
      <t xml:space="preserve">２ </t>
    </r>
    <r>
      <rPr>
        <sz val="11"/>
        <color indexed="8"/>
        <rFont val="ＭＳ 明朝"/>
        <family val="1"/>
        <charset val="128"/>
      </rPr>
      <t>＝ 0.80 ×（0.10Ｌ＋0.04）Ｐ</t>
    </r>
    <phoneticPr fontId="12"/>
  </si>
  <si>
    <t>３　断面および鉄筋量</t>
    <phoneticPr fontId="12"/>
  </si>
  <si>
    <t>スラブ厚</t>
    <phoneticPr fontId="12"/>
  </si>
  <si>
    <t>支間方向鉄筋量</t>
    <phoneticPr fontId="12"/>
  </si>
  <si>
    <t>支間直角方向鉄筋量</t>
    <phoneticPr fontId="12"/>
  </si>
  <si>
    <t>支間 4.0m 以下の場合に使用できます。</t>
    <rPh sb="14" eb="16">
      <t>シヨウ</t>
    </rPh>
    <phoneticPr fontId="12"/>
  </si>
  <si>
    <t>編集にはシートの保護解除が必要HB</t>
    <rPh sb="0" eb="2">
      <t>ヘンシュウ</t>
    </rPh>
    <rPh sb="8" eb="10">
      <t>ホゴ</t>
    </rPh>
    <rPh sb="10" eb="12">
      <t>カイジョ</t>
    </rPh>
    <rPh sb="13" eb="15">
      <t>ヒツヨウ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</si>
</sst>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[Red]General"/>
    <numFmt numFmtId="177" formatCode="0.000"/>
    <numFmt numFmtId="178" formatCode="&quot;＝ &quot;0.00"/>
    <numFmt numFmtId="179" formatCode="0.00&quot;　×&quot;"/>
    <numFmt numFmtId="180" formatCode="0.000&quot;＋&quot;"/>
    <numFmt numFmtId="181" formatCode="0.00000"/>
    <numFmt numFmtId="182" formatCode="0&quot; を&quot;"/>
    <numFmt numFmtId="183" formatCode="&quot;&quot;"/>
    <numFmt numFmtId="184" formatCode="0.0000"/>
    <numFmt numFmtId="185" formatCode="&quot;× &quot;0&quot;）＝&quot;"/>
    <numFmt numFmtId="186" formatCode="&quot;× &quot;0"/>
    <numFmt numFmtId="187" formatCode="0.0&quot; Cm&quot;"/>
    <numFmt numFmtId="188" formatCode="0.000_ "/>
    <numFmt numFmtId="189" formatCode="#,##0.000"/>
    <numFmt numFmtId="190" formatCode="#,##0.000_ "/>
    <numFmt numFmtId="191" formatCode="#,##0_);[Red]\(#,##0\)"/>
    <numFmt numFmtId="192" formatCode="#,##0.0_);[Red]\(#,##0.0\)"/>
    <numFmt numFmtId="193" formatCode="#,##0.0"/>
    <numFmt numFmtId="194" formatCode="#,##0.0_ "/>
    <numFmt numFmtId="195" formatCode="0.0_);[Red]\(0.0\)"/>
    <numFmt numFmtId="196" formatCode="0_ "/>
  </numFmts>
  <fonts count="1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color indexed="33"/>
      <name val="ＭＳ 明朝"/>
      <family val="1"/>
      <charset val="128"/>
    </font>
    <font>
      <vertAlign val="superscript"/>
      <sz val="11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1"/>
      <color indexed="14"/>
      <name val="ＭＳ 明朝"/>
      <family val="1"/>
      <charset val="128"/>
    </font>
    <font>
      <vertAlign val="superscript"/>
      <sz val="10"/>
      <color indexed="8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176" fontId="3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178" fontId="2" fillId="0" borderId="0" xfId="0" applyNumberFormat="1" applyFont="1" applyAlignment="1">
      <alignment horizontal="distributed"/>
    </xf>
    <xf numFmtId="179" fontId="2" fillId="0" borderId="0" xfId="0" applyNumberFormat="1" applyFont="1" applyAlignment="1">
      <alignment horizontal="distributed"/>
    </xf>
    <xf numFmtId="0" fontId="2" fillId="0" borderId="0" xfId="0" applyFont="1" applyAlignment="1">
      <alignment horizontal="distributed"/>
    </xf>
    <xf numFmtId="17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centerContinuous"/>
    </xf>
    <xf numFmtId="179" fontId="2" fillId="0" borderId="0" xfId="0" applyNumberFormat="1" applyFont="1"/>
    <xf numFmtId="0" fontId="7" fillId="0" borderId="0" xfId="0" applyFont="1" applyProtection="1">
      <protection locked="0"/>
    </xf>
    <xf numFmtId="177" fontId="2" fillId="0" borderId="0" xfId="0" applyNumberFormat="1" applyFont="1" applyAlignment="1">
      <alignment horizontal="left"/>
    </xf>
    <xf numFmtId="177" fontId="2" fillId="0" borderId="0" xfId="0" applyNumberFormat="1" applyFont="1"/>
    <xf numFmtId="18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81" fontId="2" fillId="0" borderId="0" xfId="0" applyNumberFormat="1" applyFont="1" applyAlignment="1">
      <alignment horizontal="left"/>
    </xf>
    <xf numFmtId="181" fontId="2" fillId="0" borderId="0" xfId="0" applyNumberFormat="1" applyFont="1"/>
    <xf numFmtId="176" fontId="3" fillId="0" borderId="0" xfId="0" applyNumberFormat="1" applyFont="1"/>
    <xf numFmtId="181" fontId="2" fillId="0" borderId="0" xfId="0" applyNumberFormat="1" applyFont="1" applyAlignment="1">
      <alignment horizontal="center"/>
    </xf>
    <xf numFmtId="2" fontId="2" fillId="0" borderId="0" xfId="0" applyNumberFormat="1" applyFont="1"/>
    <xf numFmtId="184" fontId="2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Protection="1">
      <protection locked="0"/>
    </xf>
    <xf numFmtId="186" fontId="2" fillId="0" borderId="0" xfId="0" applyNumberFormat="1" applyFont="1" applyAlignment="1" applyProtection="1">
      <alignment horizontal="center"/>
      <protection locked="0"/>
    </xf>
    <xf numFmtId="185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>
      <protection locked="0"/>
    </xf>
    <xf numFmtId="184" fontId="3" fillId="0" borderId="1" xfId="0" applyNumberFormat="1" applyFont="1" applyBorder="1" applyAlignment="1" applyProtection="1">
      <alignment horizontal="right"/>
      <protection locked="0"/>
    </xf>
    <xf numFmtId="177" fontId="3" fillId="0" borderId="1" xfId="0" applyNumberFormat="1" applyFont="1" applyBorder="1" applyAlignment="1" applyProtection="1">
      <alignment horizontal="right"/>
      <protection locked="0"/>
    </xf>
    <xf numFmtId="3" fontId="3" fillId="0" borderId="2" xfId="0" applyNumberFormat="1" applyFont="1" applyBorder="1" applyProtection="1">
      <protection locked="0"/>
    </xf>
    <xf numFmtId="176" fontId="3" fillId="0" borderId="0" xfId="0" applyNumberFormat="1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Protection="1">
      <protection locked="0"/>
    </xf>
    <xf numFmtId="187" fontId="2" fillId="0" borderId="0" xfId="0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83" fontId="10" fillId="0" borderId="0" xfId="0" applyNumberFormat="1" applyFont="1" applyProtection="1">
      <protection locked="0"/>
    </xf>
    <xf numFmtId="0" fontId="8" fillId="0" borderId="0" xfId="0" applyFont="1" applyAlignment="1">
      <alignment horizontal="left"/>
    </xf>
    <xf numFmtId="0" fontId="11" fillId="0" borderId="0" xfId="0" applyFont="1"/>
    <xf numFmtId="3" fontId="2" fillId="0" borderId="0" xfId="0" applyNumberFormat="1" applyFont="1" applyAlignment="1">
      <alignment horizontal="right"/>
    </xf>
    <xf numFmtId="0" fontId="13" fillId="0" borderId="0" xfId="0" applyFont="1"/>
    <xf numFmtId="189" fontId="2" fillId="0" borderId="0" xfId="0" applyNumberFormat="1" applyFont="1"/>
    <xf numFmtId="189" fontId="2" fillId="0" borderId="0" xfId="0" applyNumberFormat="1" applyFont="1" applyAlignment="1">
      <alignment horizontal="center"/>
    </xf>
    <xf numFmtId="189" fontId="2" fillId="0" borderId="0" xfId="0" applyNumberFormat="1" applyFont="1" applyAlignment="1">
      <alignment horizontal="right"/>
    </xf>
    <xf numFmtId="190" fontId="2" fillId="0" borderId="0" xfId="0" applyNumberFormat="1" applyFont="1" applyAlignment="1">
      <alignment horizontal="right"/>
    </xf>
    <xf numFmtId="190" fontId="2" fillId="0" borderId="0" xfId="0" applyNumberFormat="1" applyFont="1" applyAlignment="1">
      <alignment horizontal="center"/>
    </xf>
    <xf numFmtId="191" fontId="2" fillId="0" borderId="0" xfId="0" applyNumberFormat="1" applyFont="1"/>
    <xf numFmtId="0" fontId="3" fillId="0" borderId="0" xfId="0" applyFont="1" applyAlignment="1">
      <alignment horizontal="right"/>
    </xf>
    <xf numFmtId="192" fontId="2" fillId="0" borderId="0" xfId="0" applyNumberFormat="1" applyFont="1" applyAlignment="1">
      <alignment horizontal="center"/>
    </xf>
    <xf numFmtId="193" fontId="2" fillId="0" borderId="0" xfId="0" applyNumberFormat="1" applyFont="1" applyAlignment="1">
      <alignment horizontal="center"/>
    </xf>
    <xf numFmtId="194" fontId="2" fillId="0" borderId="0" xfId="0" applyNumberFormat="1" applyFont="1"/>
    <xf numFmtId="195" fontId="2" fillId="0" borderId="0" xfId="0" applyNumberFormat="1" applyFont="1" applyAlignment="1">
      <alignment horizontal="center"/>
    </xf>
    <xf numFmtId="191" fontId="4" fillId="0" borderId="0" xfId="0" applyNumberFormat="1" applyFont="1" applyProtection="1">
      <protection locked="0"/>
    </xf>
    <xf numFmtId="191" fontId="2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distributed" justifyLastLine="1"/>
    </xf>
    <xf numFmtId="0" fontId="2" fillId="0" borderId="0" xfId="0" applyFont="1" applyAlignment="1">
      <alignment horizontal="center" shrinkToFit="1"/>
    </xf>
    <xf numFmtId="0" fontId="14" fillId="0" borderId="0" xfId="0" applyFont="1" applyAlignment="1">
      <alignment shrinkToFit="1"/>
    </xf>
    <xf numFmtId="0" fontId="14" fillId="0" borderId="0" xfId="0" applyFont="1" applyAlignment="1">
      <alignment horizontal="distributed"/>
    </xf>
    <xf numFmtId="0" fontId="1" fillId="0" borderId="0" xfId="0" applyFont="1"/>
    <xf numFmtId="177" fontId="4" fillId="2" borderId="0" xfId="0" applyNumberFormat="1" applyFont="1" applyFill="1" applyProtection="1">
      <protection locked="0"/>
    </xf>
    <xf numFmtId="1" fontId="4" fillId="2" borderId="0" xfId="0" applyNumberFormat="1" applyFont="1" applyFill="1" applyProtection="1">
      <protection locked="0"/>
    </xf>
    <xf numFmtId="0" fontId="1" fillId="2" borderId="0" xfId="0" applyFont="1" applyFill="1"/>
    <xf numFmtId="1" fontId="4" fillId="2" borderId="0" xfId="0" applyNumberFormat="1" applyFont="1" applyFill="1" applyAlignment="1" applyProtection="1">
      <alignment horizontal="center"/>
      <protection locked="0"/>
    </xf>
    <xf numFmtId="187" fontId="4" fillId="2" borderId="0" xfId="0" applyNumberFormat="1" applyFont="1" applyFill="1" applyAlignment="1" applyProtection="1">
      <alignment horizontal="center"/>
      <protection locked="0"/>
    </xf>
    <xf numFmtId="182" fontId="4" fillId="2" borderId="0" xfId="0" applyNumberFormat="1" applyFont="1" applyFill="1" applyAlignment="1" applyProtection="1">
      <alignment horizontal="center"/>
      <protection locked="0"/>
    </xf>
    <xf numFmtId="2" fontId="4" fillId="2" borderId="0" xfId="0" applyNumberFormat="1" applyFont="1" applyFill="1" applyAlignment="1" applyProtection="1">
      <alignment horizontal="center"/>
      <protection locked="0"/>
    </xf>
    <xf numFmtId="176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176" fontId="1" fillId="0" borderId="0" xfId="0" applyNumberFormat="1" applyFont="1" applyAlignment="1">
      <alignment horizontal="right"/>
    </xf>
    <xf numFmtId="187" fontId="4" fillId="0" borderId="0" xfId="0" applyNumberFormat="1" applyFont="1" applyAlignment="1" applyProtection="1">
      <alignment horizontal="center"/>
      <protection locked="0"/>
    </xf>
    <xf numFmtId="177" fontId="1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196" fontId="1" fillId="0" borderId="0" xfId="0" applyNumberFormat="1" applyFont="1"/>
    <xf numFmtId="0" fontId="1" fillId="0" borderId="0" xfId="0" applyFont="1" applyAlignment="1">
      <alignment horizontal="left"/>
    </xf>
    <xf numFmtId="0" fontId="16" fillId="0" borderId="0" xfId="0" applyFont="1"/>
    <xf numFmtId="1" fontId="1" fillId="0" borderId="0" xfId="0" applyNumberFormat="1" applyFont="1" applyAlignment="1" applyProtection="1">
      <alignment horizontal="center"/>
      <protection locked="0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/>
    <xf numFmtId="0" fontId="14" fillId="0" borderId="0" xfId="0" applyFont="1" applyAlignment="1">
      <alignment horizontal="right"/>
    </xf>
    <xf numFmtId="191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2" fillId="0" borderId="0" xfId="0" applyFont="1" applyAlignment="1">
      <alignment horizontal="left" shrinkToFit="1"/>
    </xf>
    <xf numFmtId="188" fontId="1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left"/>
    </xf>
    <xf numFmtId="0" fontId="2" fillId="0" borderId="0" xfId="0" applyFont="1" applyAlignment="1" applyProtection="1">
      <alignment horizontal="left"/>
      <protection hidden="1"/>
    </xf>
    <xf numFmtId="0" fontId="1" fillId="0" borderId="0" xfId="0" applyFont="1" applyAlignment="1">
      <alignment horizontal="center"/>
    </xf>
    <xf numFmtId="196" fontId="4" fillId="2" borderId="0" xfId="0" applyNumberFormat="1" applyFont="1" applyFill="1" applyProtection="1">
      <protection locked="0"/>
    </xf>
    <xf numFmtId="0" fontId="2" fillId="0" borderId="0" xfId="0" applyFont="1" applyAlignment="1">
      <alignment horizontal="distributed" justifyLastLine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71</xdr:row>
      <xdr:rowOff>0</xdr:rowOff>
    </xdr:from>
    <xdr:to>
      <xdr:col>5</xdr:col>
      <xdr:colOff>571500</xdr:colOff>
      <xdr:row>71</xdr:row>
      <xdr:rowOff>152400</xdr:rowOff>
    </xdr:to>
    <xdr:sp macro="" textlink="">
      <xdr:nvSpPr>
        <xdr:cNvPr id="1025" name="図形 1">
          <a:extLst>
            <a:ext uri="{FF2B5EF4-FFF2-40B4-BE49-F238E27FC236}">
              <a16:creationId xmlns:a16="http://schemas.microsoft.com/office/drawing/2014/main" id="{7A69AA82-F827-B841-D6BB-4B246B026528}"/>
            </a:ext>
          </a:extLst>
        </xdr:cNvPr>
        <xdr:cNvSpPr>
          <a:spLocks/>
        </xdr:cNvSpPr>
      </xdr:nvSpPr>
      <xdr:spPr bwMode="auto">
        <a:xfrm>
          <a:off x="3276600" y="12372975"/>
          <a:ext cx="847725" cy="152400"/>
        </a:xfrm>
        <a:custGeom>
          <a:avLst/>
          <a:gdLst>
            <a:gd name="T0" fmla="*/ 0 w 16384"/>
            <a:gd name="T1" fmla="*/ 12935 h 16384"/>
            <a:gd name="T2" fmla="*/ 293 w 16384"/>
            <a:gd name="T3" fmla="*/ 10348 h 16384"/>
            <a:gd name="T4" fmla="*/ 731 w 16384"/>
            <a:gd name="T5" fmla="*/ 16384 h 16384"/>
            <a:gd name="T6" fmla="*/ 1463 w 16384"/>
            <a:gd name="T7" fmla="*/ 0 h 16384"/>
            <a:gd name="T8" fmla="*/ 16384 w 16384"/>
            <a:gd name="T9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6384" h="16384">
              <a:moveTo>
                <a:pt x="0" y="12935"/>
              </a:moveTo>
              <a:lnTo>
                <a:pt x="293" y="10348"/>
              </a:lnTo>
              <a:lnTo>
                <a:pt x="731" y="16384"/>
              </a:lnTo>
              <a:lnTo>
                <a:pt x="1463" y="0"/>
              </a:lnTo>
              <a:lnTo>
                <a:pt x="16384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95250</xdr:colOff>
      <xdr:row>74</xdr:row>
      <xdr:rowOff>0</xdr:rowOff>
    </xdr:from>
    <xdr:to>
      <xdr:col>7</xdr:col>
      <xdr:colOff>38100</xdr:colOff>
      <xdr:row>74</xdr:row>
      <xdr:rowOff>161925</xdr:rowOff>
    </xdr:to>
    <xdr:sp macro="" textlink="">
      <xdr:nvSpPr>
        <xdr:cNvPr id="1026" name="図形 2">
          <a:extLst>
            <a:ext uri="{FF2B5EF4-FFF2-40B4-BE49-F238E27FC236}">
              <a16:creationId xmlns:a16="http://schemas.microsoft.com/office/drawing/2014/main" id="{651426B6-3757-5183-95F5-6A4BAD663200}"/>
            </a:ext>
          </a:extLst>
        </xdr:cNvPr>
        <xdr:cNvSpPr>
          <a:spLocks/>
        </xdr:cNvSpPr>
      </xdr:nvSpPr>
      <xdr:spPr bwMode="auto">
        <a:xfrm>
          <a:off x="3648075" y="12887325"/>
          <a:ext cx="1543050" cy="161925"/>
        </a:xfrm>
        <a:custGeom>
          <a:avLst/>
          <a:gdLst>
            <a:gd name="T0" fmla="*/ 0 w 16384"/>
            <a:gd name="T1" fmla="*/ 14824 h 16384"/>
            <a:gd name="T2" fmla="*/ 152 w 16384"/>
            <a:gd name="T3" fmla="*/ 11703 h 16384"/>
            <a:gd name="T4" fmla="*/ 455 w 16384"/>
            <a:gd name="T5" fmla="*/ 16384 h 16384"/>
            <a:gd name="T6" fmla="*/ 910 w 16384"/>
            <a:gd name="T7" fmla="*/ 0 h 16384"/>
            <a:gd name="T8" fmla="*/ 16384 w 16384"/>
            <a:gd name="T9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6384" h="16384">
              <a:moveTo>
                <a:pt x="0" y="14824"/>
              </a:moveTo>
              <a:lnTo>
                <a:pt x="152" y="11703"/>
              </a:lnTo>
              <a:lnTo>
                <a:pt x="455" y="16384"/>
              </a:lnTo>
              <a:lnTo>
                <a:pt x="910" y="0"/>
              </a:lnTo>
              <a:lnTo>
                <a:pt x="16384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561975</xdr:colOff>
      <xdr:row>78</xdr:row>
      <xdr:rowOff>152400</xdr:rowOff>
    </xdr:from>
    <xdr:to>
      <xdr:col>5</xdr:col>
      <xdr:colOff>581025</xdr:colOff>
      <xdr:row>79</xdr:row>
      <xdr:rowOff>142875</xdr:rowOff>
    </xdr:to>
    <xdr:sp macro="" textlink="">
      <xdr:nvSpPr>
        <xdr:cNvPr id="1027" name="図形 3">
          <a:extLst>
            <a:ext uri="{FF2B5EF4-FFF2-40B4-BE49-F238E27FC236}">
              <a16:creationId xmlns:a16="http://schemas.microsoft.com/office/drawing/2014/main" id="{AB6B0B6D-21AD-82F3-8088-5176ED9CEFBA}"/>
            </a:ext>
          </a:extLst>
        </xdr:cNvPr>
        <xdr:cNvSpPr>
          <a:spLocks/>
        </xdr:cNvSpPr>
      </xdr:nvSpPr>
      <xdr:spPr bwMode="auto">
        <a:xfrm>
          <a:off x="3314700" y="13725525"/>
          <a:ext cx="819150" cy="161925"/>
        </a:xfrm>
        <a:custGeom>
          <a:avLst/>
          <a:gdLst>
            <a:gd name="T0" fmla="*/ 0 w 16384"/>
            <a:gd name="T1" fmla="*/ 14043 h 16384"/>
            <a:gd name="T2" fmla="*/ 318 w 16384"/>
            <a:gd name="T3" fmla="*/ 11703 h 16384"/>
            <a:gd name="T4" fmla="*/ 795 w 16384"/>
            <a:gd name="T5" fmla="*/ 16384 h 16384"/>
            <a:gd name="T6" fmla="*/ 1909 w 16384"/>
            <a:gd name="T7" fmla="*/ 0 h 16384"/>
            <a:gd name="T8" fmla="*/ 16384 w 16384"/>
            <a:gd name="T9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6384" h="16384">
              <a:moveTo>
                <a:pt x="0" y="14043"/>
              </a:moveTo>
              <a:lnTo>
                <a:pt x="318" y="11703"/>
              </a:lnTo>
              <a:lnTo>
                <a:pt x="795" y="16384"/>
              </a:lnTo>
              <a:lnTo>
                <a:pt x="1909" y="0"/>
              </a:lnTo>
              <a:lnTo>
                <a:pt x="16384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752475</xdr:colOff>
      <xdr:row>81</xdr:row>
      <xdr:rowOff>133350</xdr:rowOff>
    </xdr:from>
    <xdr:to>
      <xdr:col>7</xdr:col>
      <xdr:colOff>466725</xdr:colOff>
      <xdr:row>82</xdr:row>
      <xdr:rowOff>161925</xdr:rowOff>
    </xdr:to>
    <xdr:sp macro="" textlink="">
      <xdr:nvSpPr>
        <xdr:cNvPr id="1028" name="図形 4">
          <a:extLst>
            <a:ext uri="{FF2B5EF4-FFF2-40B4-BE49-F238E27FC236}">
              <a16:creationId xmlns:a16="http://schemas.microsoft.com/office/drawing/2014/main" id="{F2ED4553-F2DD-39EA-4970-D743CCB3288A}"/>
            </a:ext>
          </a:extLst>
        </xdr:cNvPr>
        <xdr:cNvSpPr>
          <a:spLocks/>
        </xdr:cNvSpPr>
      </xdr:nvSpPr>
      <xdr:spPr bwMode="auto">
        <a:xfrm>
          <a:off x="3505200" y="14220825"/>
          <a:ext cx="2114550" cy="200025"/>
        </a:xfrm>
        <a:custGeom>
          <a:avLst/>
          <a:gdLst>
            <a:gd name="T0" fmla="*/ 0 w 16384"/>
            <a:gd name="T1" fmla="*/ 15604 h 16384"/>
            <a:gd name="T2" fmla="*/ 148 w 16384"/>
            <a:gd name="T3" fmla="*/ 11703 h 16384"/>
            <a:gd name="T4" fmla="*/ 369 w 16384"/>
            <a:gd name="T5" fmla="*/ 16384 h 16384"/>
            <a:gd name="T6" fmla="*/ 959 w 16384"/>
            <a:gd name="T7" fmla="*/ 0 h 16384"/>
            <a:gd name="T8" fmla="*/ 16384 w 16384"/>
            <a:gd name="T9" fmla="*/ 0 h 16384"/>
            <a:gd name="T10" fmla="*/ 16310 w 16384"/>
            <a:gd name="T11" fmla="*/ 78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16384" h="16384">
              <a:moveTo>
                <a:pt x="0" y="15604"/>
              </a:moveTo>
              <a:lnTo>
                <a:pt x="148" y="11703"/>
              </a:lnTo>
              <a:lnTo>
                <a:pt x="369" y="16384"/>
              </a:lnTo>
              <a:lnTo>
                <a:pt x="959" y="0"/>
              </a:lnTo>
              <a:lnTo>
                <a:pt x="16384" y="0"/>
              </a:lnTo>
              <a:lnTo>
                <a:pt x="16310" y="78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695325</xdr:colOff>
      <xdr:row>93</xdr:row>
      <xdr:rowOff>142875</xdr:rowOff>
    </xdr:from>
    <xdr:to>
      <xdr:col>7</xdr:col>
      <xdr:colOff>390525</xdr:colOff>
      <xdr:row>94</xdr:row>
      <xdr:rowOff>152400</xdr:rowOff>
    </xdr:to>
    <xdr:sp macro="" textlink="">
      <xdr:nvSpPr>
        <xdr:cNvPr id="1029" name="図形 5">
          <a:extLst>
            <a:ext uri="{FF2B5EF4-FFF2-40B4-BE49-F238E27FC236}">
              <a16:creationId xmlns:a16="http://schemas.microsoft.com/office/drawing/2014/main" id="{063A05F7-421A-F302-1C3B-E097A491D365}"/>
            </a:ext>
          </a:extLst>
        </xdr:cNvPr>
        <xdr:cNvSpPr>
          <a:spLocks/>
        </xdr:cNvSpPr>
      </xdr:nvSpPr>
      <xdr:spPr bwMode="auto">
        <a:xfrm>
          <a:off x="3448050" y="16116300"/>
          <a:ext cx="2095500" cy="180975"/>
        </a:xfrm>
        <a:custGeom>
          <a:avLst/>
          <a:gdLst>
            <a:gd name="T0" fmla="*/ 0 w 16384"/>
            <a:gd name="T1" fmla="*/ 12994 h 16384"/>
            <a:gd name="T2" fmla="*/ 156 w 16384"/>
            <a:gd name="T3" fmla="*/ 11864 h 16384"/>
            <a:gd name="T4" fmla="*/ 311 w 16384"/>
            <a:gd name="T5" fmla="*/ 16384 h 16384"/>
            <a:gd name="T6" fmla="*/ 830 w 16384"/>
            <a:gd name="T7" fmla="*/ 0 h 16384"/>
            <a:gd name="T8" fmla="*/ 16384 w 16384"/>
            <a:gd name="T9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6384" h="16384">
              <a:moveTo>
                <a:pt x="0" y="12994"/>
              </a:moveTo>
              <a:lnTo>
                <a:pt x="156" y="11864"/>
              </a:lnTo>
              <a:lnTo>
                <a:pt x="311" y="16384"/>
              </a:lnTo>
              <a:lnTo>
                <a:pt x="830" y="0"/>
              </a:lnTo>
              <a:lnTo>
                <a:pt x="16384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466725</xdr:colOff>
      <xdr:row>90</xdr:row>
      <xdr:rowOff>161925</xdr:rowOff>
    </xdr:from>
    <xdr:to>
      <xdr:col>5</xdr:col>
      <xdr:colOff>485775</xdr:colOff>
      <xdr:row>91</xdr:row>
      <xdr:rowOff>161925</xdr:rowOff>
    </xdr:to>
    <xdr:sp macro="" textlink="">
      <xdr:nvSpPr>
        <xdr:cNvPr id="1031" name="図形 7">
          <a:extLst>
            <a:ext uri="{FF2B5EF4-FFF2-40B4-BE49-F238E27FC236}">
              <a16:creationId xmlns:a16="http://schemas.microsoft.com/office/drawing/2014/main" id="{ACF77665-3A56-DD53-B15C-032D3FD1E76F}"/>
            </a:ext>
          </a:extLst>
        </xdr:cNvPr>
        <xdr:cNvSpPr>
          <a:spLocks/>
        </xdr:cNvSpPr>
      </xdr:nvSpPr>
      <xdr:spPr bwMode="auto">
        <a:xfrm>
          <a:off x="3219450" y="15621000"/>
          <a:ext cx="819150" cy="171450"/>
        </a:xfrm>
        <a:custGeom>
          <a:avLst/>
          <a:gdLst>
            <a:gd name="T0" fmla="*/ 0 w 16384"/>
            <a:gd name="T1" fmla="*/ 12873 h 16384"/>
            <a:gd name="T2" fmla="*/ 106 w 16384"/>
            <a:gd name="T3" fmla="*/ 11118 h 16384"/>
            <a:gd name="T4" fmla="*/ 423 w 16384"/>
            <a:gd name="T5" fmla="*/ 16384 h 16384"/>
            <a:gd name="T6" fmla="*/ 1268 w 16384"/>
            <a:gd name="T7" fmla="*/ 0 h 16384"/>
            <a:gd name="T8" fmla="*/ 16384 w 16384"/>
            <a:gd name="T9" fmla="*/ 0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6384" h="16384">
              <a:moveTo>
                <a:pt x="0" y="12873"/>
              </a:moveTo>
              <a:lnTo>
                <a:pt x="106" y="11118"/>
              </a:lnTo>
              <a:lnTo>
                <a:pt x="423" y="16384"/>
              </a:lnTo>
              <a:lnTo>
                <a:pt x="1268" y="0"/>
              </a:lnTo>
              <a:lnTo>
                <a:pt x="16384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400050</xdr:colOff>
      <xdr:row>19</xdr:row>
      <xdr:rowOff>47625</xdr:rowOff>
    </xdr:from>
    <xdr:to>
      <xdr:col>6</xdr:col>
      <xdr:colOff>295275</xdr:colOff>
      <xdr:row>20</xdr:row>
      <xdr:rowOff>161925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CC9412C4-1CEE-EFE0-1866-B6C8D96D0373}"/>
            </a:ext>
          </a:extLst>
        </xdr:cNvPr>
        <xdr:cNvSpPr>
          <a:spLocks noChangeArrowheads="1"/>
        </xdr:cNvSpPr>
      </xdr:nvSpPr>
      <xdr:spPr bwMode="auto">
        <a:xfrm>
          <a:off x="1552575" y="3362325"/>
          <a:ext cx="3095625" cy="285750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19</xdr:row>
      <xdr:rowOff>47625</xdr:rowOff>
    </xdr:from>
    <xdr:to>
      <xdr:col>6</xdr:col>
      <xdr:colOff>514350</xdr:colOff>
      <xdr:row>22</xdr:row>
      <xdr:rowOff>152400</xdr:rowOff>
    </xdr:to>
    <xdr:sp macro="" textlink="">
      <xdr:nvSpPr>
        <xdr:cNvPr id="1036" name="図形 12">
          <a:extLst>
            <a:ext uri="{FF2B5EF4-FFF2-40B4-BE49-F238E27FC236}">
              <a16:creationId xmlns:a16="http://schemas.microsoft.com/office/drawing/2014/main" id="{F663512E-C4E0-1470-9683-2F4F6E4ACEB9}"/>
            </a:ext>
          </a:extLst>
        </xdr:cNvPr>
        <xdr:cNvSpPr>
          <a:spLocks/>
        </xdr:cNvSpPr>
      </xdr:nvSpPr>
      <xdr:spPr bwMode="auto">
        <a:xfrm>
          <a:off x="4410075" y="3362325"/>
          <a:ext cx="457200" cy="619125"/>
        </a:xfrm>
        <a:custGeom>
          <a:avLst/>
          <a:gdLst>
            <a:gd name="T0" fmla="*/ 0 w 16384"/>
            <a:gd name="T1" fmla="*/ 16384 h 16384"/>
            <a:gd name="T2" fmla="*/ 0 w 16384"/>
            <a:gd name="T3" fmla="*/ 8192 h 16384"/>
            <a:gd name="T4" fmla="*/ 10049 w 16384"/>
            <a:gd name="T5" fmla="*/ 8192 h 16384"/>
            <a:gd name="T6" fmla="*/ 10049 w 16384"/>
            <a:gd name="T7" fmla="*/ 0 h 16384"/>
            <a:gd name="T8" fmla="*/ 16384 w 16384"/>
            <a:gd name="T9" fmla="*/ 0 h 16384"/>
            <a:gd name="T10" fmla="*/ 16384 w 16384"/>
            <a:gd name="T11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0" y="8192"/>
              </a:lnTo>
              <a:lnTo>
                <a:pt x="10049" y="8192"/>
              </a:lnTo>
              <a:lnTo>
                <a:pt x="10049" y="0"/>
              </a:lnTo>
              <a:lnTo>
                <a:pt x="16384" y="0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19</xdr:row>
      <xdr:rowOff>66675</xdr:rowOff>
    </xdr:from>
    <xdr:to>
      <xdr:col>2</xdr:col>
      <xdr:colOff>619125</xdr:colOff>
      <xdr:row>22</xdr:row>
      <xdr:rowOff>161925</xdr:rowOff>
    </xdr:to>
    <xdr:sp macro="" textlink="">
      <xdr:nvSpPr>
        <xdr:cNvPr id="1040" name="図形 16">
          <a:extLst>
            <a:ext uri="{FF2B5EF4-FFF2-40B4-BE49-F238E27FC236}">
              <a16:creationId xmlns:a16="http://schemas.microsoft.com/office/drawing/2014/main" id="{8C7F58B7-1506-41A9-BA89-12FA8965FD04}"/>
            </a:ext>
          </a:extLst>
        </xdr:cNvPr>
        <xdr:cNvSpPr>
          <a:spLocks/>
        </xdr:cNvSpPr>
      </xdr:nvSpPr>
      <xdr:spPr bwMode="auto">
        <a:xfrm>
          <a:off x="1333500" y="3381375"/>
          <a:ext cx="438150" cy="609600"/>
        </a:xfrm>
        <a:custGeom>
          <a:avLst/>
          <a:gdLst>
            <a:gd name="T0" fmla="*/ 16384 w 16384"/>
            <a:gd name="T1" fmla="*/ 16384 h 16384"/>
            <a:gd name="T2" fmla="*/ 16384 w 16384"/>
            <a:gd name="T3" fmla="*/ 7967 h 16384"/>
            <a:gd name="T4" fmla="*/ 7182 w 16384"/>
            <a:gd name="T5" fmla="*/ 7967 h 16384"/>
            <a:gd name="T6" fmla="*/ 7182 w 16384"/>
            <a:gd name="T7" fmla="*/ 0 h 16384"/>
            <a:gd name="T8" fmla="*/ 0 w 16384"/>
            <a:gd name="T9" fmla="*/ 0 h 16384"/>
            <a:gd name="T10" fmla="*/ 0 w 16384"/>
            <a:gd name="T11" fmla="*/ 1623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16384" h="16384">
              <a:moveTo>
                <a:pt x="16384" y="16384"/>
              </a:moveTo>
              <a:lnTo>
                <a:pt x="16384" y="7967"/>
              </a:lnTo>
              <a:lnTo>
                <a:pt x="7182" y="7967"/>
              </a:lnTo>
              <a:lnTo>
                <a:pt x="7182" y="0"/>
              </a:lnTo>
              <a:lnTo>
                <a:pt x="0" y="0"/>
              </a:lnTo>
              <a:lnTo>
                <a:pt x="0" y="1623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514350</xdr:colOff>
      <xdr:row>20</xdr:row>
      <xdr:rowOff>104775</xdr:rowOff>
    </xdr:from>
    <xdr:to>
      <xdr:col>2</xdr:col>
      <xdr:colOff>514350</xdr:colOff>
      <xdr:row>24</xdr:row>
      <xdr:rowOff>28575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11CF2FDB-C1C9-84B6-95EA-9D5474D32958}"/>
            </a:ext>
          </a:extLst>
        </xdr:cNvPr>
        <xdr:cNvSpPr>
          <a:spLocks noChangeShapeType="1"/>
        </xdr:cNvSpPr>
      </xdr:nvSpPr>
      <xdr:spPr bwMode="auto">
        <a:xfrm>
          <a:off x="1666875" y="3590925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20</xdr:row>
      <xdr:rowOff>104775</xdr:rowOff>
    </xdr:from>
    <xdr:to>
      <xdr:col>6</xdr:col>
      <xdr:colOff>180975</xdr:colOff>
      <xdr:row>24</xdr:row>
      <xdr:rowOff>19050</xdr:rowOff>
    </xdr:to>
    <xdr:sp macro="" textlink="">
      <xdr:nvSpPr>
        <xdr:cNvPr id="1042" name="Line 18">
          <a:extLst>
            <a:ext uri="{FF2B5EF4-FFF2-40B4-BE49-F238E27FC236}">
              <a16:creationId xmlns:a16="http://schemas.microsoft.com/office/drawing/2014/main" id="{8B5828AE-B817-979E-F399-FDF47197D536}"/>
            </a:ext>
          </a:extLst>
        </xdr:cNvPr>
        <xdr:cNvSpPr>
          <a:spLocks noChangeShapeType="1"/>
        </xdr:cNvSpPr>
      </xdr:nvSpPr>
      <xdr:spPr bwMode="auto">
        <a:xfrm>
          <a:off x="4533900" y="3590925"/>
          <a:ext cx="0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514350</xdr:colOff>
      <xdr:row>23</xdr:row>
      <xdr:rowOff>180975</xdr:rowOff>
    </xdr:from>
    <xdr:to>
      <xdr:col>6</xdr:col>
      <xdr:colOff>180975</xdr:colOff>
      <xdr:row>23</xdr:row>
      <xdr:rowOff>180975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B0A1DAD7-091C-6AB5-445D-4D9A3726A679}"/>
            </a:ext>
          </a:extLst>
        </xdr:cNvPr>
        <xdr:cNvSpPr>
          <a:spLocks noChangeShapeType="1"/>
        </xdr:cNvSpPr>
      </xdr:nvSpPr>
      <xdr:spPr bwMode="auto">
        <a:xfrm>
          <a:off x="1666875" y="4171950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19</xdr:row>
      <xdr:rowOff>104775</xdr:rowOff>
    </xdr:from>
    <xdr:to>
      <xdr:col>6</xdr:col>
      <xdr:colOff>295275</xdr:colOff>
      <xdr:row>19</xdr:row>
      <xdr:rowOff>104775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3FF4FAE1-068E-55AF-05D8-33046CCD54A2}"/>
            </a:ext>
          </a:extLst>
        </xdr:cNvPr>
        <xdr:cNvSpPr>
          <a:spLocks noChangeShapeType="1"/>
        </xdr:cNvSpPr>
      </xdr:nvSpPr>
      <xdr:spPr bwMode="auto">
        <a:xfrm>
          <a:off x="1552575" y="3419475"/>
          <a:ext cx="3095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542925</xdr:colOff>
      <xdr:row>19</xdr:row>
      <xdr:rowOff>47625</xdr:rowOff>
    </xdr:from>
    <xdr:to>
      <xdr:col>7</xdr:col>
      <xdr:colOff>28575</xdr:colOff>
      <xdr:row>19</xdr:row>
      <xdr:rowOff>47625</xdr:rowOff>
    </xdr:to>
    <xdr:sp macro="" textlink="">
      <xdr:nvSpPr>
        <xdr:cNvPr id="1045" name="Line 21">
          <a:extLst>
            <a:ext uri="{FF2B5EF4-FFF2-40B4-BE49-F238E27FC236}">
              <a16:creationId xmlns:a16="http://schemas.microsoft.com/office/drawing/2014/main" id="{8874F5E9-FF71-377D-371F-A9CE5B436197}"/>
            </a:ext>
          </a:extLst>
        </xdr:cNvPr>
        <xdr:cNvSpPr>
          <a:spLocks noChangeShapeType="1"/>
        </xdr:cNvSpPr>
      </xdr:nvSpPr>
      <xdr:spPr bwMode="auto">
        <a:xfrm>
          <a:off x="4895850" y="3362325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19</xdr:row>
      <xdr:rowOff>114300</xdr:rowOff>
    </xdr:from>
    <xdr:to>
      <xdr:col>7</xdr:col>
      <xdr:colOff>28575</xdr:colOff>
      <xdr:row>19</xdr:row>
      <xdr:rowOff>114300</xdr:rowOff>
    </xdr:to>
    <xdr:sp macro="" textlink="">
      <xdr:nvSpPr>
        <xdr:cNvPr id="1046" name="Line 22">
          <a:extLst>
            <a:ext uri="{FF2B5EF4-FFF2-40B4-BE49-F238E27FC236}">
              <a16:creationId xmlns:a16="http://schemas.microsoft.com/office/drawing/2014/main" id="{AE5B72DF-450D-953F-D112-2F10450054D2}"/>
            </a:ext>
          </a:extLst>
        </xdr:cNvPr>
        <xdr:cNvSpPr>
          <a:spLocks noChangeShapeType="1"/>
        </xdr:cNvSpPr>
      </xdr:nvSpPr>
      <xdr:spPr bwMode="auto">
        <a:xfrm>
          <a:off x="4886325" y="3429000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20</xdr:row>
      <xdr:rowOff>161925</xdr:rowOff>
    </xdr:from>
    <xdr:to>
      <xdr:col>7</xdr:col>
      <xdr:colOff>38100</xdr:colOff>
      <xdr:row>20</xdr:row>
      <xdr:rowOff>161925</xdr:rowOff>
    </xdr:to>
    <xdr:sp macro="" textlink="">
      <xdr:nvSpPr>
        <xdr:cNvPr id="1047" name="Line 23">
          <a:extLst>
            <a:ext uri="{FF2B5EF4-FFF2-40B4-BE49-F238E27FC236}">
              <a16:creationId xmlns:a16="http://schemas.microsoft.com/office/drawing/2014/main" id="{133B9649-B5CD-0623-6395-C6F611EC8124}"/>
            </a:ext>
          </a:extLst>
        </xdr:cNvPr>
        <xdr:cNvSpPr>
          <a:spLocks noChangeShapeType="1"/>
        </xdr:cNvSpPr>
      </xdr:nvSpPr>
      <xdr:spPr bwMode="auto">
        <a:xfrm>
          <a:off x="4886325" y="36480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809625</xdr:colOff>
      <xdr:row>19</xdr:row>
      <xdr:rowOff>114300</xdr:rowOff>
    </xdr:from>
    <xdr:to>
      <xdr:col>6</xdr:col>
      <xdr:colOff>809625</xdr:colOff>
      <xdr:row>20</xdr:row>
      <xdr:rowOff>180975</xdr:rowOff>
    </xdr:to>
    <xdr:sp macro="" textlink="">
      <xdr:nvSpPr>
        <xdr:cNvPr id="1049" name="Line 25">
          <a:extLst>
            <a:ext uri="{FF2B5EF4-FFF2-40B4-BE49-F238E27FC236}">
              <a16:creationId xmlns:a16="http://schemas.microsoft.com/office/drawing/2014/main" id="{B0BD42FD-AABD-62CF-7CAE-EA153A0B1A56}"/>
            </a:ext>
          </a:extLst>
        </xdr:cNvPr>
        <xdr:cNvSpPr>
          <a:spLocks noChangeShapeType="1"/>
        </xdr:cNvSpPr>
      </xdr:nvSpPr>
      <xdr:spPr bwMode="auto">
        <a:xfrm>
          <a:off x="5153025" y="3429000"/>
          <a:ext cx="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809625</xdr:colOff>
      <xdr:row>18</xdr:row>
      <xdr:rowOff>104775</xdr:rowOff>
    </xdr:from>
    <xdr:to>
      <xdr:col>6</xdr:col>
      <xdr:colOff>809625</xdr:colOff>
      <xdr:row>19</xdr:row>
      <xdr:rowOff>47625</xdr:rowOff>
    </xdr:to>
    <xdr:sp macro="" textlink="">
      <xdr:nvSpPr>
        <xdr:cNvPr id="1051" name="Line 27">
          <a:extLst>
            <a:ext uri="{FF2B5EF4-FFF2-40B4-BE49-F238E27FC236}">
              <a16:creationId xmlns:a16="http://schemas.microsoft.com/office/drawing/2014/main" id="{E5146046-E811-6E97-8913-A3FD0B8842B8}"/>
            </a:ext>
          </a:extLst>
        </xdr:cNvPr>
        <xdr:cNvSpPr>
          <a:spLocks noChangeShapeType="1"/>
        </xdr:cNvSpPr>
      </xdr:nvSpPr>
      <xdr:spPr bwMode="auto">
        <a:xfrm>
          <a:off x="5153025" y="324802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619125</xdr:colOff>
      <xdr:row>16</xdr:row>
      <xdr:rowOff>142875</xdr:rowOff>
    </xdr:from>
    <xdr:to>
      <xdr:col>7</xdr:col>
      <xdr:colOff>619125</xdr:colOff>
      <xdr:row>18</xdr:row>
      <xdr:rowOff>76200</xdr:rowOff>
    </xdr:to>
    <xdr:sp macro="" textlink="">
      <xdr:nvSpPr>
        <xdr:cNvPr id="1059" name="Line 35">
          <a:extLst>
            <a:ext uri="{FF2B5EF4-FFF2-40B4-BE49-F238E27FC236}">
              <a16:creationId xmlns:a16="http://schemas.microsoft.com/office/drawing/2014/main" id="{0A787CB4-C6FA-6CD5-ACD3-23BF6101E84F}"/>
            </a:ext>
          </a:extLst>
        </xdr:cNvPr>
        <xdr:cNvSpPr>
          <a:spLocks noChangeShapeType="1"/>
        </xdr:cNvSpPr>
      </xdr:nvSpPr>
      <xdr:spPr bwMode="auto">
        <a:xfrm flipV="1">
          <a:off x="5772150" y="2943225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219075</xdr:colOff>
      <xdr:row>16</xdr:row>
      <xdr:rowOff>123825</xdr:rowOff>
    </xdr:from>
    <xdr:to>
      <xdr:col>9</xdr:col>
      <xdr:colOff>219075</xdr:colOff>
      <xdr:row>18</xdr:row>
      <xdr:rowOff>85725</xdr:rowOff>
    </xdr:to>
    <xdr:sp macro="" textlink="">
      <xdr:nvSpPr>
        <xdr:cNvPr id="1061" name="Line 37">
          <a:extLst>
            <a:ext uri="{FF2B5EF4-FFF2-40B4-BE49-F238E27FC236}">
              <a16:creationId xmlns:a16="http://schemas.microsoft.com/office/drawing/2014/main" id="{F75A60C3-5774-D659-38AF-D4C2D0E3E12A}"/>
            </a:ext>
          </a:extLst>
        </xdr:cNvPr>
        <xdr:cNvSpPr>
          <a:spLocks noChangeShapeType="1"/>
        </xdr:cNvSpPr>
      </xdr:nvSpPr>
      <xdr:spPr bwMode="auto">
        <a:xfrm flipV="1">
          <a:off x="6972300" y="2924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619125</xdr:colOff>
      <xdr:row>17</xdr:row>
      <xdr:rowOff>9525</xdr:rowOff>
    </xdr:from>
    <xdr:to>
      <xdr:col>9</xdr:col>
      <xdr:colOff>219075</xdr:colOff>
      <xdr:row>17</xdr:row>
      <xdr:rowOff>9525</xdr:rowOff>
    </xdr:to>
    <xdr:sp macro="" textlink="">
      <xdr:nvSpPr>
        <xdr:cNvPr id="1062" name="Line 38">
          <a:extLst>
            <a:ext uri="{FF2B5EF4-FFF2-40B4-BE49-F238E27FC236}">
              <a16:creationId xmlns:a16="http://schemas.microsoft.com/office/drawing/2014/main" id="{DFD82A79-F1DC-A733-D2EA-C3C4472DDAC8}"/>
            </a:ext>
          </a:extLst>
        </xdr:cNvPr>
        <xdr:cNvSpPr>
          <a:spLocks noChangeShapeType="1"/>
        </xdr:cNvSpPr>
      </xdr:nvSpPr>
      <xdr:spPr bwMode="auto">
        <a:xfrm>
          <a:off x="5772150" y="2981325"/>
          <a:ext cx="1200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609600</xdr:colOff>
      <xdr:row>20</xdr:row>
      <xdr:rowOff>161925</xdr:rowOff>
    </xdr:from>
    <xdr:to>
      <xdr:col>9</xdr:col>
      <xdr:colOff>238125</xdr:colOff>
      <xdr:row>20</xdr:row>
      <xdr:rowOff>161925</xdr:rowOff>
    </xdr:to>
    <xdr:sp macro="" textlink="">
      <xdr:nvSpPr>
        <xdr:cNvPr id="1066" name="Line 42">
          <a:extLst>
            <a:ext uri="{FF2B5EF4-FFF2-40B4-BE49-F238E27FC236}">
              <a16:creationId xmlns:a16="http://schemas.microsoft.com/office/drawing/2014/main" id="{F84A037F-F9ED-2D10-3E23-27609922780D}"/>
            </a:ext>
          </a:extLst>
        </xdr:cNvPr>
        <xdr:cNvSpPr>
          <a:spLocks noChangeShapeType="1"/>
        </xdr:cNvSpPr>
      </xdr:nvSpPr>
      <xdr:spPr bwMode="auto">
        <a:xfrm>
          <a:off x="5762625" y="3648075"/>
          <a:ext cx="1228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619125</xdr:colOff>
      <xdr:row>19</xdr:row>
      <xdr:rowOff>47625</xdr:rowOff>
    </xdr:from>
    <xdr:to>
      <xdr:col>9</xdr:col>
      <xdr:colOff>228600</xdr:colOff>
      <xdr:row>19</xdr:row>
      <xdr:rowOff>47625</xdr:rowOff>
    </xdr:to>
    <xdr:sp macro="" textlink="">
      <xdr:nvSpPr>
        <xdr:cNvPr id="1069" name="Line 45">
          <a:extLst>
            <a:ext uri="{FF2B5EF4-FFF2-40B4-BE49-F238E27FC236}">
              <a16:creationId xmlns:a16="http://schemas.microsoft.com/office/drawing/2014/main" id="{BB2F0B45-E3C2-6449-2C6A-526BAB123612}"/>
            </a:ext>
          </a:extLst>
        </xdr:cNvPr>
        <xdr:cNvSpPr>
          <a:spLocks noChangeShapeType="1"/>
        </xdr:cNvSpPr>
      </xdr:nvSpPr>
      <xdr:spPr bwMode="auto">
        <a:xfrm>
          <a:off x="5772150" y="3362325"/>
          <a:ext cx="1209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619125</xdr:colOff>
      <xdr:row>19</xdr:row>
      <xdr:rowOff>104775</xdr:rowOff>
    </xdr:from>
    <xdr:to>
      <xdr:col>9</xdr:col>
      <xdr:colOff>228600</xdr:colOff>
      <xdr:row>19</xdr:row>
      <xdr:rowOff>104775</xdr:rowOff>
    </xdr:to>
    <xdr:sp macro="" textlink="">
      <xdr:nvSpPr>
        <xdr:cNvPr id="1070" name="Line 46">
          <a:extLst>
            <a:ext uri="{FF2B5EF4-FFF2-40B4-BE49-F238E27FC236}">
              <a16:creationId xmlns:a16="http://schemas.microsoft.com/office/drawing/2014/main" id="{C3D5229D-ED98-F04B-69C4-A4F53BEC0E61}"/>
            </a:ext>
          </a:extLst>
        </xdr:cNvPr>
        <xdr:cNvSpPr>
          <a:spLocks noChangeShapeType="1"/>
        </xdr:cNvSpPr>
      </xdr:nvSpPr>
      <xdr:spPr bwMode="auto">
        <a:xfrm>
          <a:off x="5772150" y="3419475"/>
          <a:ext cx="1209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39</xdr:row>
      <xdr:rowOff>114300</xdr:rowOff>
    </xdr:from>
    <xdr:to>
      <xdr:col>8</xdr:col>
      <xdr:colOff>457200</xdr:colOff>
      <xdr:row>41</xdr:row>
      <xdr:rowOff>152400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E7DBA621-C838-CF99-D3CD-EA0A2E4B4046}"/>
            </a:ext>
          </a:extLst>
        </xdr:cNvPr>
        <xdr:cNvSpPr txBox="1">
          <a:spLocks noChangeArrowheads="1"/>
        </xdr:cNvSpPr>
      </xdr:nvSpPr>
      <xdr:spPr bwMode="auto">
        <a:xfrm>
          <a:off x="4162425" y="6858000"/>
          <a:ext cx="224790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仮定スラブ厚を変えて試算し、最適な厚さにします。</a:t>
          </a:r>
        </a:p>
      </xdr:txBody>
    </xdr:sp>
    <xdr:clientData/>
  </xdr:twoCellAnchor>
  <xdr:twoCellAnchor>
    <xdr:from>
      <xdr:col>7</xdr:col>
      <xdr:colOff>247650</xdr:colOff>
      <xdr:row>68</xdr:row>
      <xdr:rowOff>38100</xdr:rowOff>
    </xdr:from>
    <xdr:to>
      <xdr:col>12</xdr:col>
      <xdr:colOff>323850</xdr:colOff>
      <xdr:row>74</xdr:row>
      <xdr:rowOff>9525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1AD0EB4E-920F-2CC2-D623-CBB32A1B508E}"/>
            </a:ext>
          </a:extLst>
        </xdr:cNvPr>
        <xdr:cNvSpPr txBox="1">
          <a:spLocks noChangeArrowheads="1"/>
        </xdr:cNvSpPr>
      </xdr:nvSpPr>
      <xdr:spPr bwMode="auto">
        <a:xfrm>
          <a:off x="5400675" y="11896725"/>
          <a:ext cx="3848100" cy="1000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かぶりを決め、全厚と有効厚のチェックをします。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多少の不足であれば鉄筋量とのバランスでＯＫになることもあります。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鉄筋量とセットで試算してください。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最終的には応力の点検で確認してください。</a:t>
          </a:r>
        </a:p>
      </xdr:txBody>
    </xdr:sp>
    <xdr:clientData/>
  </xdr:twoCellAnchor>
  <xdr:twoCellAnchor>
    <xdr:from>
      <xdr:col>7</xdr:col>
      <xdr:colOff>333375</xdr:colOff>
      <xdr:row>87</xdr:row>
      <xdr:rowOff>123825</xdr:rowOff>
    </xdr:from>
    <xdr:to>
      <xdr:col>11</xdr:col>
      <xdr:colOff>361950</xdr:colOff>
      <xdr:row>92</xdr:row>
      <xdr:rowOff>66675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2F061544-4633-E1D6-441F-895117391B28}"/>
            </a:ext>
          </a:extLst>
        </xdr:cNvPr>
        <xdr:cNvSpPr txBox="1">
          <a:spLocks noChangeArrowheads="1"/>
        </xdr:cNvSpPr>
      </xdr:nvSpPr>
      <xdr:spPr bwMode="auto">
        <a:xfrm>
          <a:off x="5486400" y="15068550"/>
          <a:ext cx="3114675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鉄筋量の試算をします。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多少の不足であればスラブ厚とのバランスでＯＫになることもあります。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最終的には応力の点検で確認してください。</a:t>
          </a:r>
        </a:p>
      </xdr:txBody>
    </xdr:sp>
    <xdr:clientData/>
  </xdr:twoCellAnchor>
  <xdr:twoCellAnchor>
    <xdr:from>
      <xdr:col>4</xdr:col>
      <xdr:colOff>609600</xdr:colOff>
      <xdr:row>52</xdr:row>
      <xdr:rowOff>104775</xdr:rowOff>
    </xdr:from>
    <xdr:to>
      <xdr:col>5</xdr:col>
      <xdr:colOff>47625</xdr:colOff>
      <xdr:row>53</xdr:row>
      <xdr:rowOff>95250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259A8270-FF5A-9C65-68CC-9F16E3438DEC}"/>
            </a:ext>
          </a:extLst>
        </xdr:cNvPr>
        <xdr:cNvSpPr txBox="1">
          <a:spLocks noChangeArrowheads="1"/>
        </xdr:cNvSpPr>
      </xdr:nvSpPr>
      <xdr:spPr bwMode="auto">
        <a:xfrm>
          <a:off x="3362325" y="9191625"/>
          <a:ext cx="2381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7</xdr:col>
      <xdr:colOff>476250</xdr:colOff>
      <xdr:row>117</xdr:row>
      <xdr:rowOff>85725</xdr:rowOff>
    </xdr:from>
    <xdr:to>
      <xdr:col>7</xdr:col>
      <xdr:colOff>685800</xdr:colOff>
      <xdr:row>118</xdr:row>
      <xdr:rowOff>66675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A3E106F3-04BC-AA12-6141-538B326FD534}"/>
            </a:ext>
          </a:extLst>
        </xdr:cNvPr>
        <xdr:cNvSpPr txBox="1">
          <a:spLocks noChangeArrowheads="1"/>
        </xdr:cNvSpPr>
      </xdr:nvSpPr>
      <xdr:spPr bwMode="auto">
        <a:xfrm>
          <a:off x="5629275" y="20031075"/>
          <a:ext cx="209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7</xdr:col>
      <xdr:colOff>590550</xdr:colOff>
      <xdr:row>136</xdr:row>
      <xdr:rowOff>66675</xdr:rowOff>
    </xdr:from>
    <xdr:to>
      <xdr:col>8</xdr:col>
      <xdr:colOff>0</xdr:colOff>
      <xdr:row>137</xdr:row>
      <xdr:rowOff>76200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E86328F6-BC4F-E202-CF37-A0E5B0AFCFED}"/>
            </a:ext>
          </a:extLst>
        </xdr:cNvPr>
        <xdr:cNvSpPr txBox="1">
          <a:spLocks noChangeArrowheads="1"/>
        </xdr:cNvSpPr>
      </xdr:nvSpPr>
      <xdr:spPr bwMode="auto">
        <a:xfrm>
          <a:off x="5743575" y="23355300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4</xdr:col>
      <xdr:colOff>66676</xdr:colOff>
      <xdr:row>23</xdr:row>
      <xdr:rowOff>142875</xdr:rowOff>
    </xdr:from>
    <xdr:to>
      <xdr:col>4</xdr:col>
      <xdr:colOff>638176</xdr:colOff>
      <xdr:row>25</xdr:row>
      <xdr:rowOff>76200</xdr:rowOff>
    </xdr:to>
    <xdr:sp macro="" textlink="支間">
      <xdr:nvSpPr>
        <xdr:cNvPr id="2" name="テキスト ボックス 1">
          <a:extLst>
            <a:ext uri="{FF2B5EF4-FFF2-40B4-BE49-F238E27FC236}">
              <a16:creationId xmlns:a16="http://schemas.microsoft.com/office/drawing/2014/main" id="{E67CB71C-B7D1-50DC-4A91-FA0C9805C940}"/>
            </a:ext>
          </a:extLst>
        </xdr:cNvPr>
        <xdr:cNvSpPr txBox="1"/>
      </xdr:nvSpPr>
      <xdr:spPr>
        <a:xfrm>
          <a:off x="2819401" y="4143375"/>
          <a:ext cx="57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12683F-B70E-4ADD-9721-1EC8FB5D1144}" type="TxLink">
            <a:rPr kumimoji="1" lang="en-US" altLang="en-US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pPr/>
            <a:t>2.000</a:t>
          </a:fld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485776</xdr:colOff>
      <xdr:row>23</xdr:row>
      <xdr:rowOff>133350</xdr:rowOff>
    </xdr:from>
    <xdr:to>
      <xdr:col>5</xdr:col>
      <xdr:colOff>38100</xdr:colOff>
      <xdr:row>25</xdr:row>
      <xdr:rowOff>66675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78B41EB-34DE-00CF-005B-A1725974797E}"/>
            </a:ext>
          </a:extLst>
        </xdr:cNvPr>
        <xdr:cNvSpPr txBox="1"/>
      </xdr:nvSpPr>
      <xdr:spPr>
        <a:xfrm>
          <a:off x="3238501" y="4133850"/>
          <a:ext cx="35242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1100">
              <a:solidFill>
                <a:srgbClr val="FF0000"/>
              </a:solidFill>
            </a:rPr>
            <a:t>m</a:t>
          </a:r>
        </a:p>
      </xdr:txBody>
    </xdr:sp>
    <xdr:clientData/>
  </xdr:twoCellAnchor>
  <xdr:twoCellAnchor>
    <xdr:from>
      <xdr:col>6</xdr:col>
      <xdr:colOff>561977</xdr:colOff>
      <xdr:row>19</xdr:row>
      <xdr:rowOff>28576</xdr:rowOff>
    </xdr:from>
    <xdr:to>
      <xdr:col>7</xdr:col>
      <xdr:colOff>19054</xdr:colOff>
      <xdr:row>21</xdr:row>
      <xdr:rowOff>38100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379F23B-E235-39ED-C239-B1B774BF32F9}"/>
            </a:ext>
          </a:extLst>
        </xdr:cNvPr>
        <xdr:cNvSpPr txBox="1"/>
      </xdr:nvSpPr>
      <xdr:spPr>
        <a:xfrm rot="16200000">
          <a:off x="4867279" y="3390899"/>
          <a:ext cx="352424" cy="257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1100">
              <a:solidFill>
                <a:sysClr val="windowText" lastClr="000000"/>
              </a:solidFill>
            </a:rPr>
            <a:t>h</a:t>
          </a:r>
        </a:p>
      </xdr:txBody>
    </xdr:sp>
    <xdr:clientData/>
  </xdr:twoCellAnchor>
  <xdr:twoCellAnchor>
    <xdr:from>
      <xdr:col>6</xdr:col>
      <xdr:colOff>790579</xdr:colOff>
      <xdr:row>18</xdr:row>
      <xdr:rowOff>47624</xdr:rowOff>
    </xdr:from>
    <xdr:to>
      <xdr:col>7</xdr:col>
      <xdr:colOff>247656</xdr:colOff>
      <xdr:row>20</xdr:row>
      <xdr:rowOff>19049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30C96C6-C862-D1AA-EBAE-A22B8D21D627}"/>
            </a:ext>
          </a:extLst>
        </xdr:cNvPr>
        <xdr:cNvSpPr txBox="1"/>
      </xdr:nvSpPr>
      <xdr:spPr>
        <a:xfrm rot="16200000">
          <a:off x="5114930" y="3219448"/>
          <a:ext cx="314325" cy="257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1100">
              <a:solidFill>
                <a:sysClr val="windowText" lastClr="000000"/>
              </a:solidFill>
            </a:rPr>
            <a:t>t</a:t>
          </a:r>
        </a:p>
      </xdr:txBody>
    </xdr:sp>
    <xdr:clientData/>
  </xdr:twoCellAnchor>
  <xdr:twoCellAnchor>
    <xdr:from>
      <xdr:col>6</xdr:col>
      <xdr:colOff>795341</xdr:colOff>
      <xdr:row>20</xdr:row>
      <xdr:rowOff>114300</xdr:rowOff>
    </xdr:from>
    <xdr:to>
      <xdr:col>7</xdr:col>
      <xdr:colOff>271466</xdr:colOff>
      <xdr:row>22</xdr:row>
      <xdr:rowOff>109538</xdr:rowOff>
    </xdr:to>
    <xdr:sp macro="" textlink="H">
      <xdr:nvSpPr>
        <xdr:cNvPr id="36" name="テキスト ボックス 35">
          <a:extLst>
            <a:ext uri="{FF2B5EF4-FFF2-40B4-BE49-F238E27FC236}">
              <a16:creationId xmlns:a16="http://schemas.microsoft.com/office/drawing/2014/main" id="{4F0802FB-2EA7-D060-8BEE-BBEB89B1D755}"/>
            </a:ext>
          </a:extLst>
        </xdr:cNvPr>
        <xdr:cNvSpPr txBox="1"/>
      </xdr:nvSpPr>
      <xdr:spPr>
        <a:xfrm rot="16200000">
          <a:off x="5117310" y="3631406"/>
          <a:ext cx="338138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7A49103-020E-4A93-B02F-894CBE0211CD}" type="TxLink">
            <a:rPr kumimoji="1" lang="en-US" altLang="en-US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pPr/>
            <a:t>25</a:t>
          </a:fld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790578</xdr:colOff>
      <xdr:row>19</xdr:row>
      <xdr:rowOff>57150</xdr:rowOff>
    </xdr:from>
    <xdr:to>
      <xdr:col>7</xdr:col>
      <xdr:colOff>266703</xdr:colOff>
      <xdr:row>21</xdr:row>
      <xdr:rowOff>133350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FD23A897-4CB0-15AF-6711-0BC7B9132D22}"/>
            </a:ext>
          </a:extLst>
        </xdr:cNvPr>
        <xdr:cNvSpPr txBox="1"/>
      </xdr:nvSpPr>
      <xdr:spPr>
        <a:xfrm rot="16200000">
          <a:off x="5072066" y="3443287"/>
          <a:ext cx="419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1100">
              <a:solidFill>
                <a:srgbClr val="FF0000"/>
              </a:solidFill>
            </a:rPr>
            <a:t>cm</a:t>
          </a:r>
        </a:p>
      </xdr:txBody>
    </xdr:sp>
    <xdr:clientData/>
  </xdr:twoCellAnchor>
  <xdr:twoCellAnchor>
    <xdr:from>
      <xdr:col>6</xdr:col>
      <xdr:colOff>547692</xdr:colOff>
      <xdr:row>17</xdr:row>
      <xdr:rowOff>123825</xdr:rowOff>
    </xdr:from>
    <xdr:to>
      <xdr:col>7</xdr:col>
      <xdr:colOff>23817</xdr:colOff>
      <xdr:row>19</xdr:row>
      <xdr:rowOff>119063</xdr:rowOff>
    </xdr:to>
    <xdr:sp macro="" textlink="舗装厚">
      <xdr:nvSpPr>
        <xdr:cNvPr id="38" name="テキスト ボックス 37">
          <a:extLst>
            <a:ext uri="{FF2B5EF4-FFF2-40B4-BE49-F238E27FC236}">
              <a16:creationId xmlns:a16="http://schemas.microsoft.com/office/drawing/2014/main" id="{9FD4C086-AF58-A9E6-C9A3-51C18C18A496}"/>
            </a:ext>
          </a:extLst>
        </xdr:cNvPr>
        <xdr:cNvSpPr txBox="1"/>
      </xdr:nvSpPr>
      <xdr:spPr>
        <a:xfrm rot="16200000">
          <a:off x="4869661" y="3126581"/>
          <a:ext cx="338138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5367454-5B95-4E46-B36A-2ABE9F57EE0C}" type="TxLink">
            <a:rPr kumimoji="1" lang="en-US" altLang="en-US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pPr/>
            <a:t>5</a:t>
          </a:fld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542929</xdr:colOff>
      <xdr:row>16</xdr:row>
      <xdr:rowOff>114300</xdr:rowOff>
    </xdr:from>
    <xdr:to>
      <xdr:col>7</xdr:col>
      <xdr:colOff>19054</xdr:colOff>
      <xdr:row>19</xdr:row>
      <xdr:rowOff>19050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D8F1EA2-D721-E0DB-26AD-4C78C7E7C190}"/>
            </a:ext>
          </a:extLst>
        </xdr:cNvPr>
        <xdr:cNvSpPr txBox="1"/>
      </xdr:nvSpPr>
      <xdr:spPr>
        <a:xfrm rot="16200000">
          <a:off x="4824417" y="2986087"/>
          <a:ext cx="419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1100">
              <a:solidFill>
                <a:srgbClr val="FF0000"/>
              </a:solidFill>
            </a:rPr>
            <a:t>cm</a:t>
          </a:r>
        </a:p>
      </xdr:txBody>
    </xdr:sp>
    <xdr:clientData/>
  </xdr:twoCellAnchor>
  <xdr:twoCellAnchor>
    <xdr:from>
      <xdr:col>8</xdr:col>
      <xdr:colOff>38101</xdr:colOff>
      <xdr:row>16</xdr:row>
      <xdr:rowOff>152400</xdr:rowOff>
    </xdr:from>
    <xdr:to>
      <xdr:col>8</xdr:col>
      <xdr:colOff>609601</xdr:colOff>
      <xdr:row>18</xdr:row>
      <xdr:rowOff>85725</xdr:rowOff>
    </xdr:to>
    <xdr:sp macro="" textlink="幅員">
      <xdr:nvSpPr>
        <xdr:cNvPr id="40" name="テキスト ボックス 39">
          <a:extLst>
            <a:ext uri="{FF2B5EF4-FFF2-40B4-BE49-F238E27FC236}">
              <a16:creationId xmlns:a16="http://schemas.microsoft.com/office/drawing/2014/main" id="{9A5E786F-4B1D-2502-3F50-42649834D1F0}"/>
            </a:ext>
          </a:extLst>
        </xdr:cNvPr>
        <xdr:cNvSpPr txBox="1"/>
      </xdr:nvSpPr>
      <xdr:spPr>
        <a:xfrm>
          <a:off x="5991226" y="2952750"/>
          <a:ext cx="57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BD56E2F-7CF5-4A9E-AEE6-63418DE2198C}" type="TxLink">
            <a:rPr kumimoji="1" lang="en-US" altLang="en-US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pPr/>
            <a:t>1.000</a:t>
          </a:fld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428626</xdr:colOff>
      <xdr:row>16</xdr:row>
      <xdr:rowOff>152400</xdr:rowOff>
    </xdr:from>
    <xdr:to>
      <xdr:col>8</xdr:col>
      <xdr:colOff>781050</xdr:colOff>
      <xdr:row>18</xdr:row>
      <xdr:rowOff>85725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D31A6816-EB77-D544-9448-C92E9755179A}"/>
            </a:ext>
          </a:extLst>
        </xdr:cNvPr>
        <xdr:cNvSpPr txBox="1"/>
      </xdr:nvSpPr>
      <xdr:spPr>
        <a:xfrm>
          <a:off x="6381751" y="2952750"/>
          <a:ext cx="35242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1100">
              <a:solidFill>
                <a:srgbClr val="FF0000"/>
              </a:solidFill>
            </a:rPr>
            <a:t>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15</xdr:row>
      <xdr:rowOff>47625</xdr:rowOff>
    </xdr:from>
    <xdr:to>
      <xdr:col>5</xdr:col>
      <xdr:colOff>295275</xdr:colOff>
      <xdr:row>16</xdr:row>
      <xdr:rowOff>161925</xdr:rowOff>
    </xdr:to>
    <xdr:sp macro="" textlink="">
      <xdr:nvSpPr>
        <xdr:cNvPr id="4103" name="Rectangle 7">
          <a:extLst>
            <a:ext uri="{FF2B5EF4-FFF2-40B4-BE49-F238E27FC236}">
              <a16:creationId xmlns:a16="http://schemas.microsoft.com/office/drawing/2014/main" id="{4E631A5C-FDBB-0A9F-76B2-431749145110}"/>
            </a:ext>
          </a:extLst>
        </xdr:cNvPr>
        <xdr:cNvSpPr>
          <a:spLocks noChangeArrowheads="1"/>
        </xdr:cNvSpPr>
      </xdr:nvSpPr>
      <xdr:spPr bwMode="auto">
        <a:xfrm>
          <a:off x="752475" y="2676525"/>
          <a:ext cx="3095625" cy="285750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57150</xdr:colOff>
      <xdr:row>15</xdr:row>
      <xdr:rowOff>47625</xdr:rowOff>
    </xdr:from>
    <xdr:to>
      <xdr:col>5</xdr:col>
      <xdr:colOff>514350</xdr:colOff>
      <xdr:row>18</xdr:row>
      <xdr:rowOff>152400</xdr:rowOff>
    </xdr:to>
    <xdr:sp macro="" textlink="">
      <xdr:nvSpPr>
        <xdr:cNvPr id="4104" name="図形 12">
          <a:extLst>
            <a:ext uri="{FF2B5EF4-FFF2-40B4-BE49-F238E27FC236}">
              <a16:creationId xmlns:a16="http://schemas.microsoft.com/office/drawing/2014/main" id="{C12D0EEE-9EF2-D843-F01E-25D647D40D72}"/>
            </a:ext>
          </a:extLst>
        </xdr:cNvPr>
        <xdr:cNvSpPr>
          <a:spLocks/>
        </xdr:cNvSpPr>
      </xdr:nvSpPr>
      <xdr:spPr bwMode="auto">
        <a:xfrm>
          <a:off x="3609975" y="2676525"/>
          <a:ext cx="457200" cy="619125"/>
        </a:xfrm>
        <a:custGeom>
          <a:avLst/>
          <a:gdLst>
            <a:gd name="T0" fmla="*/ 0 w 16384"/>
            <a:gd name="T1" fmla="*/ 16384 h 16384"/>
            <a:gd name="T2" fmla="*/ 0 w 16384"/>
            <a:gd name="T3" fmla="*/ 8192 h 16384"/>
            <a:gd name="T4" fmla="*/ 10049 w 16384"/>
            <a:gd name="T5" fmla="*/ 8192 h 16384"/>
            <a:gd name="T6" fmla="*/ 10049 w 16384"/>
            <a:gd name="T7" fmla="*/ 0 h 16384"/>
            <a:gd name="T8" fmla="*/ 16384 w 16384"/>
            <a:gd name="T9" fmla="*/ 0 h 16384"/>
            <a:gd name="T10" fmla="*/ 16384 w 16384"/>
            <a:gd name="T11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0" y="8192"/>
              </a:lnTo>
              <a:lnTo>
                <a:pt x="10049" y="8192"/>
              </a:lnTo>
              <a:lnTo>
                <a:pt x="10049" y="0"/>
              </a:lnTo>
              <a:lnTo>
                <a:pt x="16384" y="0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15</xdr:row>
      <xdr:rowOff>66675</xdr:rowOff>
    </xdr:from>
    <xdr:to>
      <xdr:col>1</xdr:col>
      <xdr:colOff>619125</xdr:colOff>
      <xdr:row>18</xdr:row>
      <xdr:rowOff>161925</xdr:rowOff>
    </xdr:to>
    <xdr:sp macro="" textlink="">
      <xdr:nvSpPr>
        <xdr:cNvPr id="4105" name="図形 16">
          <a:extLst>
            <a:ext uri="{FF2B5EF4-FFF2-40B4-BE49-F238E27FC236}">
              <a16:creationId xmlns:a16="http://schemas.microsoft.com/office/drawing/2014/main" id="{1867D487-E5FC-88FD-6EBD-56A7982AEF60}"/>
            </a:ext>
          </a:extLst>
        </xdr:cNvPr>
        <xdr:cNvSpPr>
          <a:spLocks/>
        </xdr:cNvSpPr>
      </xdr:nvSpPr>
      <xdr:spPr bwMode="auto">
        <a:xfrm>
          <a:off x="533400" y="2695575"/>
          <a:ext cx="438150" cy="609600"/>
        </a:xfrm>
        <a:custGeom>
          <a:avLst/>
          <a:gdLst>
            <a:gd name="T0" fmla="*/ 16384 w 16384"/>
            <a:gd name="T1" fmla="*/ 16384 h 16384"/>
            <a:gd name="T2" fmla="*/ 16384 w 16384"/>
            <a:gd name="T3" fmla="*/ 7967 h 16384"/>
            <a:gd name="T4" fmla="*/ 7182 w 16384"/>
            <a:gd name="T5" fmla="*/ 7967 h 16384"/>
            <a:gd name="T6" fmla="*/ 7182 w 16384"/>
            <a:gd name="T7" fmla="*/ 0 h 16384"/>
            <a:gd name="T8" fmla="*/ 0 w 16384"/>
            <a:gd name="T9" fmla="*/ 0 h 16384"/>
            <a:gd name="T10" fmla="*/ 0 w 16384"/>
            <a:gd name="T11" fmla="*/ 1623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16384" h="16384">
              <a:moveTo>
                <a:pt x="16384" y="16384"/>
              </a:moveTo>
              <a:lnTo>
                <a:pt x="16384" y="7967"/>
              </a:lnTo>
              <a:lnTo>
                <a:pt x="7182" y="7967"/>
              </a:lnTo>
              <a:lnTo>
                <a:pt x="7182" y="0"/>
              </a:lnTo>
              <a:lnTo>
                <a:pt x="0" y="0"/>
              </a:lnTo>
              <a:lnTo>
                <a:pt x="0" y="1623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16</xdr:row>
      <xdr:rowOff>104775</xdr:rowOff>
    </xdr:from>
    <xdr:to>
      <xdr:col>1</xdr:col>
      <xdr:colOff>514350</xdr:colOff>
      <xdr:row>20</xdr:row>
      <xdr:rowOff>28575</xdr:rowOff>
    </xdr:to>
    <xdr:sp macro="" textlink="">
      <xdr:nvSpPr>
        <xdr:cNvPr id="4106" name="Line 10">
          <a:extLst>
            <a:ext uri="{FF2B5EF4-FFF2-40B4-BE49-F238E27FC236}">
              <a16:creationId xmlns:a16="http://schemas.microsoft.com/office/drawing/2014/main" id="{5FB4F7F6-E1D6-050A-CFB2-3CCCE59199C3}"/>
            </a:ext>
          </a:extLst>
        </xdr:cNvPr>
        <xdr:cNvSpPr>
          <a:spLocks noChangeShapeType="1"/>
        </xdr:cNvSpPr>
      </xdr:nvSpPr>
      <xdr:spPr bwMode="auto">
        <a:xfrm>
          <a:off x="866775" y="2905125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16</xdr:row>
      <xdr:rowOff>104775</xdr:rowOff>
    </xdr:from>
    <xdr:to>
      <xdr:col>5</xdr:col>
      <xdr:colOff>180975</xdr:colOff>
      <xdr:row>20</xdr:row>
      <xdr:rowOff>19050</xdr:rowOff>
    </xdr:to>
    <xdr:sp macro="" textlink="">
      <xdr:nvSpPr>
        <xdr:cNvPr id="4107" name="Line 11">
          <a:extLst>
            <a:ext uri="{FF2B5EF4-FFF2-40B4-BE49-F238E27FC236}">
              <a16:creationId xmlns:a16="http://schemas.microsoft.com/office/drawing/2014/main" id="{04C4E67F-D153-2769-3F11-CA21A6E758CE}"/>
            </a:ext>
          </a:extLst>
        </xdr:cNvPr>
        <xdr:cNvSpPr>
          <a:spLocks noChangeShapeType="1"/>
        </xdr:cNvSpPr>
      </xdr:nvSpPr>
      <xdr:spPr bwMode="auto">
        <a:xfrm>
          <a:off x="3733800" y="2905125"/>
          <a:ext cx="0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514350</xdr:colOff>
      <xdr:row>19</xdr:row>
      <xdr:rowOff>180975</xdr:rowOff>
    </xdr:from>
    <xdr:to>
      <xdr:col>5</xdr:col>
      <xdr:colOff>180975</xdr:colOff>
      <xdr:row>19</xdr:row>
      <xdr:rowOff>180975</xdr:rowOff>
    </xdr:to>
    <xdr:sp macro="" textlink="">
      <xdr:nvSpPr>
        <xdr:cNvPr id="4108" name="Line 12">
          <a:extLst>
            <a:ext uri="{FF2B5EF4-FFF2-40B4-BE49-F238E27FC236}">
              <a16:creationId xmlns:a16="http://schemas.microsoft.com/office/drawing/2014/main" id="{D83E33E8-2A7C-DFC2-AC44-C334F8DDC382}"/>
            </a:ext>
          </a:extLst>
        </xdr:cNvPr>
        <xdr:cNvSpPr>
          <a:spLocks noChangeShapeType="1"/>
        </xdr:cNvSpPr>
      </xdr:nvSpPr>
      <xdr:spPr bwMode="auto">
        <a:xfrm>
          <a:off x="866775" y="3486150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400050</xdr:colOff>
      <xdr:row>15</xdr:row>
      <xdr:rowOff>104775</xdr:rowOff>
    </xdr:from>
    <xdr:to>
      <xdr:col>5</xdr:col>
      <xdr:colOff>295275</xdr:colOff>
      <xdr:row>15</xdr:row>
      <xdr:rowOff>104775</xdr:rowOff>
    </xdr:to>
    <xdr:sp macro="" textlink="">
      <xdr:nvSpPr>
        <xdr:cNvPr id="4109" name="Line 13">
          <a:extLst>
            <a:ext uri="{FF2B5EF4-FFF2-40B4-BE49-F238E27FC236}">
              <a16:creationId xmlns:a16="http://schemas.microsoft.com/office/drawing/2014/main" id="{F9A7D5A9-D588-0B15-1B29-37150479D037}"/>
            </a:ext>
          </a:extLst>
        </xdr:cNvPr>
        <xdr:cNvSpPr>
          <a:spLocks noChangeShapeType="1"/>
        </xdr:cNvSpPr>
      </xdr:nvSpPr>
      <xdr:spPr bwMode="auto">
        <a:xfrm>
          <a:off x="752475" y="2733675"/>
          <a:ext cx="3095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542925</xdr:colOff>
      <xdr:row>15</xdr:row>
      <xdr:rowOff>47625</xdr:rowOff>
    </xdr:from>
    <xdr:to>
      <xdr:col>6</xdr:col>
      <xdr:colOff>28575</xdr:colOff>
      <xdr:row>15</xdr:row>
      <xdr:rowOff>47625</xdr:rowOff>
    </xdr:to>
    <xdr:sp macro="" textlink="">
      <xdr:nvSpPr>
        <xdr:cNvPr id="4110" name="Line 14">
          <a:extLst>
            <a:ext uri="{FF2B5EF4-FFF2-40B4-BE49-F238E27FC236}">
              <a16:creationId xmlns:a16="http://schemas.microsoft.com/office/drawing/2014/main" id="{1E198DC2-5047-B90E-F2EF-71F36196C04D}"/>
            </a:ext>
          </a:extLst>
        </xdr:cNvPr>
        <xdr:cNvSpPr>
          <a:spLocks noChangeShapeType="1"/>
        </xdr:cNvSpPr>
      </xdr:nvSpPr>
      <xdr:spPr bwMode="auto">
        <a:xfrm>
          <a:off x="4095750" y="2676525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15</xdr:row>
      <xdr:rowOff>114300</xdr:rowOff>
    </xdr:from>
    <xdr:to>
      <xdr:col>6</xdr:col>
      <xdr:colOff>28575</xdr:colOff>
      <xdr:row>15</xdr:row>
      <xdr:rowOff>114300</xdr:rowOff>
    </xdr:to>
    <xdr:sp macro="" textlink="">
      <xdr:nvSpPr>
        <xdr:cNvPr id="4111" name="Line 15">
          <a:extLst>
            <a:ext uri="{FF2B5EF4-FFF2-40B4-BE49-F238E27FC236}">
              <a16:creationId xmlns:a16="http://schemas.microsoft.com/office/drawing/2014/main" id="{BA03858E-AE40-385B-4BAA-802E71FC3F0E}"/>
            </a:ext>
          </a:extLst>
        </xdr:cNvPr>
        <xdr:cNvSpPr>
          <a:spLocks noChangeShapeType="1"/>
        </xdr:cNvSpPr>
      </xdr:nvSpPr>
      <xdr:spPr bwMode="auto">
        <a:xfrm>
          <a:off x="4086225" y="2743200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16</xdr:row>
      <xdr:rowOff>161925</xdr:rowOff>
    </xdr:from>
    <xdr:to>
      <xdr:col>6</xdr:col>
      <xdr:colOff>38100</xdr:colOff>
      <xdr:row>16</xdr:row>
      <xdr:rowOff>161925</xdr:rowOff>
    </xdr:to>
    <xdr:sp macro="" textlink="">
      <xdr:nvSpPr>
        <xdr:cNvPr id="4112" name="Line 16">
          <a:extLst>
            <a:ext uri="{FF2B5EF4-FFF2-40B4-BE49-F238E27FC236}">
              <a16:creationId xmlns:a16="http://schemas.microsoft.com/office/drawing/2014/main" id="{ECE0B3AB-C398-864B-9E5A-ED5103CC8206}"/>
            </a:ext>
          </a:extLst>
        </xdr:cNvPr>
        <xdr:cNvSpPr>
          <a:spLocks noChangeShapeType="1"/>
        </xdr:cNvSpPr>
      </xdr:nvSpPr>
      <xdr:spPr bwMode="auto">
        <a:xfrm>
          <a:off x="4086225" y="29622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809625</xdr:colOff>
      <xdr:row>15</xdr:row>
      <xdr:rowOff>114300</xdr:rowOff>
    </xdr:from>
    <xdr:to>
      <xdr:col>5</xdr:col>
      <xdr:colOff>809625</xdr:colOff>
      <xdr:row>16</xdr:row>
      <xdr:rowOff>180975</xdr:rowOff>
    </xdr:to>
    <xdr:sp macro="" textlink="">
      <xdr:nvSpPr>
        <xdr:cNvPr id="4113" name="Line 17">
          <a:extLst>
            <a:ext uri="{FF2B5EF4-FFF2-40B4-BE49-F238E27FC236}">
              <a16:creationId xmlns:a16="http://schemas.microsoft.com/office/drawing/2014/main" id="{DC2D4509-F8EC-2E6C-9A64-4FBE2E2177AA}"/>
            </a:ext>
          </a:extLst>
        </xdr:cNvPr>
        <xdr:cNvSpPr>
          <a:spLocks noChangeShapeType="1"/>
        </xdr:cNvSpPr>
      </xdr:nvSpPr>
      <xdr:spPr bwMode="auto">
        <a:xfrm>
          <a:off x="4352925" y="2743200"/>
          <a:ext cx="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809625</xdr:colOff>
      <xdr:row>14</xdr:row>
      <xdr:rowOff>104775</xdr:rowOff>
    </xdr:from>
    <xdr:to>
      <xdr:col>5</xdr:col>
      <xdr:colOff>809625</xdr:colOff>
      <xdr:row>15</xdr:row>
      <xdr:rowOff>47625</xdr:rowOff>
    </xdr:to>
    <xdr:sp macro="" textlink="">
      <xdr:nvSpPr>
        <xdr:cNvPr id="4114" name="Line 18">
          <a:extLst>
            <a:ext uri="{FF2B5EF4-FFF2-40B4-BE49-F238E27FC236}">
              <a16:creationId xmlns:a16="http://schemas.microsoft.com/office/drawing/2014/main" id="{117204F4-E115-41F9-5591-0F5826F84AF4}"/>
            </a:ext>
          </a:extLst>
        </xdr:cNvPr>
        <xdr:cNvSpPr>
          <a:spLocks noChangeShapeType="1"/>
        </xdr:cNvSpPr>
      </xdr:nvSpPr>
      <xdr:spPr bwMode="auto">
        <a:xfrm>
          <a:off x="4352925" y="256222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12</xdr:row>
      <xdr:rowOff>142875</xdr:rowOff>
    </xdr:from>
    <xdr:to>
      <xdr:col>6</xdr:col>
      <xdr:colOff>619125</xdr:colOff>
      <xdr:row>14</xdr:row>
      <xdr:rowOff>76200</xdr:rowOff>
    </xdr:to>
    <xdr:sp macro="" textlink="">
      <xdr:nvSpPr>
        <xdr:cNvPr id="4115" name="Line 19">
          <a:extLst>
            <a:ext uri="{FF2B5EF4-FFF2-40B4-BE49-F238E27FC236}">
              <a16:creationId xmlns:a16="http://schemas.microsoft.com/office/drawing/2014/main" id="{9C5E536F-C809-3B7A-4FA2-BA08C7C17A16}"/>
            </a:ext>
          </a:extLst>
        </xdr:cNvPr>
        <xdr:cNvSpPr>
          <a:spLocks noChangeShapeType="1"/>
        </xdr:cNvSpPr>
      </xdr:nvSpPr>
      <xdr:spPr bwMode="auto">
        <a:xfrm flipV="1">
          <a:off x="4972050" y="2257425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219075</xdr:colOff>
      <xdr:row>12</xdr:row>
      <xdr:rowOff>123825</xdr:rowOff>
    </xdr:from>
    <xdr:to>
      <xdr:col>8</xdr:col>
      <xdr:colOff>219075</xdr:colOff>
      <xdr:row>14</xdr:row>
      <xdr:rowOff>85725</xdr:rowOff>
    </xdr:to>
    <xdr:sp macro="" textlink="">
      <xdr:nvSpPr>
        <xdr:cNvPr id="4116" name="Line 20">
          <a:extLst>
            <a:ext uri="{FF2B5EF4-FFF2-40B4-BE49-F238E27FC236}">
              <a16:creationId xmlns:a16="http://schemas.microsoft.com/office/drawing/2014/main" id="{BB223A9F-665A-EF2F-ADEB-9AA6B8732400}"/>
            </a:ext>
          </a:extLst>
        </xdr:cNvPr>
        <xdr:cNvSpPr>
          <a:spLocks noChangeShapeType="1"/>
        </xdr:cNvSpPr>
      </xdr:nvSpPr>
      <xdr:spPr bwMode="auto">
        <a:xfrm flipV="1">
          <a:off x="6172200" y="22383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13</xdr:row>
      <xdr:rowOff>9525</xdr:rowOff>
    </xdr:from>
    <xdr:to>
      <xdr:col>8</xdr:col>
      <xdr:colOff>219075</xdr:colOff>
      <xdr:row>13</xdr:row>
      <xdr:rowOff>9525</xdr:rowOff>
    </xdr:to>
    <xdr:sp macro="" textlink="">
      <xdr:nvSpPr>
        <xdr:cNvPr id="4117" name="Line 21">
          <a:extLst>
            <a:ext uri="{FF2B5EF4-FFF2-40B4-BE49-F238E27FC236}">
              <a16:creationId xmlns:a16="http://schemas.microsoft.com/office/drawing/2014/main" id="{DD0F4B8B-04AC-1DF2-0974-F1CEE6E24406}"/>
            </a:ext>
          </a:extLst>
        </xdr:cNvPr>
        <xdr:cNvSpPr>
          <a:spLocks noChangeShapeType="1"/>
        </xdr:cNvSpPr>
      </xdr:nvSpPr>
      <xdr:spPr bwMode="auto">
        <a:xfrm>
          <a:off x="4972050" y="2295525"/>
          <a:ext cx="1200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609600</xdr:colOff>
      <xdr:row>16</xdr:row>
      <xdr:rowOff>161925</xdr:rowOff>
    </xdr:from>
    <xdr:to>
      <xdr:col>8</xdr:col>
      <xdr:colOff>238125</xdr:colOff>
      <xdr:row>16</xdr:row>
      <xdr:rowOff>161925</xdr:rowOff>
    </xdr:to>
    <xdr:sp macro="" textlink="">
      <xdr:nvSpPr>
        <xdr:cNvPr id="4118" name="Line 22">
          <a:extLst>
            <a:ext uri="{FF2B5EF4-FFF2-40B4-BE49-F238E27FC236}">
              <a16:creationId xmlns:a16="http://schemas.microsoft.com/office/drawing/2014/main" id="{4120AEC5-01A4-66E5-9E5B-A64995782BFB}"/>
            </a:ext>
          </a:extLst>
        </xdr:cNvPr>
        <xdr:cNvSpPr>
          <a:spLocks noChangeShapeType="1"/>
        </xdr:cNvSpPr>
      </xdr:nvSpPr>
      <xdr:spPr bwMode="auto">
        <a:xfrm>
          <a:off x="4962525" y="2962275"/>
          <a:ext cx="1228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15</xdr:row>
      <xdr:rowOff>47625</xdr:rowOff>
    </xdr:from>
    <xdr:to>
      <xdr:col>8</xdr:col>
      <xdr:colOff>228600</xdr:colOff>
      <xdr:row>15</xdr:row>
      <xdr:rowOff>47625</xdr:rowOff>
    </xdr:to>
    <xdr:sp macro="" textlink="">
      <xdr:nvSpPr>
        <xdr:cNvPr id="4119" name="Line 23">
          <a:extLst>
            <a:ext uri="{FF2B5EF4-FFF2-40B4-BE49-F238E27FC236}">
              <a16:creationId xmlns:a16="http://schemas.microsoft.com/office/drawing/2014/main" id="{8265550D-CDB5-ED4C-C4E0-3D2516FD42E6}"/>
            </a:ext>
          </a:extLst>
        </xdr:cNvPr>
        <xdr:cNvSpPr>
          <a:spLocks noChangeShapeType="1"/>
        </xdr:cNvSpPr>
      </xdr:nvSpPr>
      <xdr:spPr bwMode="auto">
        <a:xfrm>
          <a:off x="4972050" y="2676525"/>
          <a:ext cx="1209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15</xdr:row>
      <xdr:rowOff>104775</xdr:rowOff>
    </xdr:from>
    <xdr:to>
      <xdr:col>8</xdr:col>
      <xdr:colOff>228600</xdr:colOff>
      <xdr:row>15</xdr:row>
      <xdr:rowOff>104775</xdr:rowOff>
    </xdr:to>
    <xdr:sp macro="" textlink="">
      <xdr:nvSpPr>
        <xdr:cNvPr id="4120" name="Line 24">
          <a:extLst>
            <a:ext uri="{FF2B5EF4-FFF2-40B4-BE49-F238E27FC236}">
              <a16:creationId xmlns:a16="http://schemas.microsoft.com/office/drawing/2014/main" id="{D08A0B43-B9F7-AAB1-7987-D0BE2672E66B}"/>
            </a:ext>
          </a:extLst>
        </xdr:cNvPr>
        <xdr:cNvSpPr>
          <a:spLocks noChangeShapeType="1"/>
        </xdr:cNvSpPr>
      </xdr:nvSpPr>
      <xdr:spPr bwMode="auto">
        <a:xfrm>
          <a:off x="4972050" y="2733675"/>
          <a:ext cx="1209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609600</xdr:colOff>
      <xdr:row>47</xdr:row>
      <xdr:rowOff>104775</xdr:rowOff>
    </xdr:from>
    <xdr:to>
      <xdr:col>5</xdr:col>
      <xdr:colOff>47625</xdr:colOff>
      <xdr:row>48</xdr:row>
      <xdr:rowOff>95250</xdr:rowOff>
    </xdr:to>
    <xdr:sp macro="" textlink="">
      <xdr:nvSpPr>
        <xdr:cNvPr id="4124" name="Text Box 28">
          <a:extLst>
            <a:ext uri="{FF2B5EF4-FFF2-40B4-BE49-F238E27FC236}">
              <a16:creationId xmlns:a16="http://schemas.microsoft.com/office/drawing/2014/main" id="{36F86457-9A1D-A0E8-B9B9-7DBCDB5229FD}"/>
            </a:ext>
          </a:extLst>
        </xdr:cNvPr>
        <xdr:cNvSpPr txBox="1">
          <a:spLocks noChangeArrowheads="1"/>
        </xdr:cNvSpPr>
      </xdr:nvSpPr>
      <xdr:spPr bwMode="auto">
        <a:xfrm>
          <a:off x="3362325" y="8239125"/>
          <a:ext cx="2381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7</xdr:col>
      <xdr:colOff>581025</xdr:colOff>
      <xdr:row>95</xdr:row>
      <xdr:rowOff>66675</xdr:rowOff>
    </xdr:from>
    <xdr:to>
      <xdr:col>7</xdr:col>
      <xdr:colOff>790575</xdr:colOff>
      <xdr:row>96</xdr:row>
      <xdr:rowOff>47625</xdr:rowOff>
    </xdr:to>
    <xdr:sp macro="" textlink="">
      <xdr:nvSpPr>
        <xdr:cNvPr id="4125" name="Text Box 29">
          <a:extLst>
            <a:ext uri="{FF2B5EF4-FFF2-40B4-BE49-F238E27FC236}">
              <a16:creationId xmlns:a16="http://schemas.microsoft.com/office/drawing/2014/main" id="{A6A714FE-6F30-2045-ED3D-C02C70D25B60}"/>
            </a:ext>
          </a:extLst>
        </xdr:cNvPr>
        <xdr:cNvSpPr txBox="1">
          <a:spLocks noChangeArrowheads="1"/>
        </xdr:cNvSpPr>
      </xdr:nvSpPr>
      <xdr:spPr bwMode="auto">
        <a:xfrm>
          <a:off x="5734050" y="16478250"/>
          <a:ext cx="209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7</xdr:col>
      <xdr:colOff>619125</xdr:colOff>
      <xdr:row>116</xdr:row>
      <xdr:rowOff>85725</xdr:rowOff>
    </xdr:from>
    <xdr:to>
      <xdr:col>8</xdr:col>
      <xdr:colOff>28575</xdr:colOff>
      <xdr:row>117</xdr:row>
      <xdr:rowOff>95250</xdr:rowOff>
    </xdr:to>
    <xdr:sp macro="" textlink="">
      <xdr:nvSpPr>
        <xdr:cNvPr id="4126" name="Text Box 30">
          <a:extLst>
            <a:ext uri="{FF2B5EF4-FFF2-40B4-BE49-F238E27FC236}">
              <a16:creationId xmlns:a16="http://schemas.microsoft.com/office/drawing/2014/main" id="{8936CA6F-7A10-C730-3FE5-F337B9FEA195}"/>
            </a:ext>
          </a:extLst>
        </xdr:cNvPr>
        <xdr:cNvSpPr txBox="1">
          <a:spLocks noChangeArrowheads="1"/>
        </xdr:cNvSpPr>
      </xdr:nvSpPr>
      <xdr:spPr bwMode="auto">
        <a:xfrm>
          <a:off x="5772150" y="2018347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2</xdr:col>
      <xdr:colOff>714375</xdr:colOff>
      <xdr:row>18</xdr:row>
      <xdr:rowOff>123825</xdr:rowOff>
    </xdr:from>
    <xdr:to>
      <xdr:col>4</xdr:col>
      <xdr:colOff>9525</xdr:colOff>
      <xdr:row>20</xdr:row>
      <xdr:rowOff>57150</xdr:rowOff>
    </xdr:to>
    <xdr:sp macro="" textlink="$K$20">
      <xdr:nvSpPr>
        <xdr:cNvPr id="2" name="テキスト ボックス 1">
          <a:extLst>
            <a:ext uri="{FF2B5EF4-FFF2-40B4-BE49-F238E27FC236}">
              <a16:creationId xmlns:a16="http://schemas.microsoft.com/office/drawing/2014/main" id="{B644B803-C9ED-20C8-3FA7-D4CB0C0E1F4A}"/>
            </a:ext>
          </a:extLst>
        </xdr:cNvPr>
        <xdr:cNvSpPr txBox="1"/>
      </xdr:nvSpPr>
      <xdr:spPr>
        <a:xfrm>
          <a:off x="1866900" y="3267075"/>
          <a:ext cx="8953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DA4CC72-27CF-434E-B944-29F272C1D27C}" type="TxLink">
            <a:rPr kumimoji="1" lang="en-US" altLang="en-US" sz="11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L＝2.000m</a:t>
          </a:fld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11</xdr:row>
      <xdr:rowOff>123825</xdr:rowOff>
    </xdr:from>
    <xdr:to>
      <xdr:col>8</xdr:col>
      <xdr:colOff>95250</xdr:colOff>
      <xdr:row>13</xdr:row>
      <xdr:rowOff>57150</xdr:rowOff>
    </xdr:to>
    <xdr:sp macro="" textlink="$K$14">
      <xdr:nvSpPr>
        <xdr:cNvPr id="24" name="テキスト ボックス 23">
          <a:extLst>
            <a:ext uri="{FF2B5EF4-FFF2-40B4-BE49-F238E27FC236}">
              <a16:creationId xmlns:a16="http://schemas.microsoft.com/office/drawing/2014/main" id="{564BD488-E97C-1772-70A1-FEDAB53D5893}"/>
            </a:ext>
          </a:extLst>
        </xdr:cNvPr>
        <xdr:cNvSpPr txBox="1"/>
      </xdr:nvSpPr>
      <xdr:spPr>
        <a:xfrm>
          <a:off x="5153025" y="2066925"/>
          <a:ext cx="8953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999A62D-637B-4BE6-A537-6B2269C8725C}" type="TxLink">
            <a:rPr kumimoji="1" lang="en-US" altLang="en-US" sz="11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W＝1.000m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4763</xdr:colOff>
      <xdr:row>14</xdr:row>
      <xdr:rowOff>85723</xdr:rowOff>
    </xdr:from>
    <xdr:to>
      <xdr:col>6</xdr:col>
      <xdr:colOff>280988</xdr:colOff>
      <xdr:row>18</xdr:row>
      <xdr:rowOff>28574</xdr:rowOff>
    </xdr:to>
    <xdr:sp macro="" textlink="$K$18">
      <xdr:nvSpPr>
        <xdr:cNvPr id="25" name="テキスト ボックス 24">
          <a:extLst>
            <a:ext uri="{FF2B5EF4-FFF2-40B4-BE49-F238E27FC236}">
              <a16:creationId xmlns:a16="http://schemas.microsoft.com/office/drawing/2014/main" id="{A652A146-50E0-58F5-0A70-B9ED0BEB8962}"/>
            </a:ext>
          </a:extLst>
        </xdr:cNvPr>
        <xdr:cNvSpPr txBox="1"/>
      </xdr:nvSpPr>
      <xdr:spPr>
        <a:xfrm rot="16200000">
          <a:off x="4181475" y="2719386"/>
          <a:ext cx="62865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BC68E7A-0DF7-4190-99D9-E9DC634ECB10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h=25cm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576264</xdr:colOff>
      <xdr:row>12</xdr:row>
      <xdr:rowOff>114299</xdr:rowOff>
    </xdr:from>
    <xdr:to>
      <xdr:col>6</xdr:col>
      <xdr:colOff>52389</xdr:colOff>
      <xdr:row>16</xdr:row>
      <xdr:rowOff>9523</xdr:rowOff>
    </xdr:to>
    <xdr:sp macro="" textlink="$K$16">
      <xdr:nvSpPr>
        <xdr:cNvPr id="26" name="テキスト ボックス 25">
          <a:extLst>
            <a:ext uri="{FF2B5EF4-FFF2-40B4-BE49-F238E27FC236}">
              <a16:creationId xmlns:a16="http://schemas.microsoft.com/office/drawing/2014/main" id="{145CD455-97A8-453B-5F23-19DAB27DB988}"/>
            </a:ext>
          </a:extLst>
        </xdr:cNvPr>
        <xdr:cNvSpPr txBox="1"/>
      </xdr:nvSpPr>
      <xdr:spPr>
        <a:xfrm rot="16200000">
          <a:off x="3976690" y="2381248"/>
          <a:ext cx="58102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A40F158-4691-4C6A-B5C3-6650781E91ED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t=5cm</a:t>
          </a:fld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35373;&#35336;&#35336;&#31639;&#26360;&#65288;Excel&#31561;&#36890;&#24120;&#20351;&#29992;&#65289;\&#20844;&#38283;&#29992;&#65288;&#12497;&#12473;&#12527;&#12540;&#12489;&#35373;&#23450;&#65289;\&#21336;&#32020;&#24202;&#29256;&#27211;&#25903;&#38291;&#24179;&#34892;&#65314;&#33655;&#37325;&#65288;N&#21336;&#20301;&#65289;.xlsx" TargetMode="External"/><Relationship Id="rId1" Type="http://schemas.openxmlformats.org/officeDocument/2006/relationships/externalLinkPath" Target="&#21336;&#32020;&#24202;&#29256;&#27211;&#25903;&#38291;&#24179;&#34892;&#65314;&#33655;&#37325;&#65288;N&#21336;&#2030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ー入力"/>
      <sheetName val="出力シート"/>
      <sheetName val="編集時"/>
    </sheetNames>
    <sheetDataSet>
      <sheetData sheetId="0">
        <row r="3">
          <cell r="F3">
            <v>1</v>
          </cell>
        </row>
        <row r="11">
          <cell r="G11">
            <v>2.5</v>
          </cell>
        </row>
        <row r="12">
          <cell r="G12">
            <v>2</v>
          </cell>
        </row>
        <row r="13">
          <cell r="G13">
            <v>4</v>
          </cell>
        </row>
        <row r="15">
          <cell r="F15">
            <v>8</v>
          </cell>
        </row>
        <row r="16">
          <cell r="F16">
            <v>140</v>
          </cell>
        </row>
        <row r="38">
          <cell r="H38">
            <v>63</v>
          </cell>
        </row>
        <row r="43">
          <cell r="E43">
            <v>30</v>
          </cell>
        </row>
        <row r="51">
          <cell r="G51">
            <v>8.25</v>
          </cell>
        </row>
        <row r="56">
          <cell r="G56">
            <v>6.4450000000000003</v>
          </cell>
        </row>
        <row r="61">
          <cell r="G61">
            <v>69.444999999999993</v>
          </cell>
        </row>
        <row r="66">
          <cell r="G66">
            <v>21</v>
          </cell>
        </row>
        <row r="75">
          <cell r="F75">
            <v>0.8</v>
          </cell>
        </row>
        <row r="78">
          <cell r="D78">
            <v>10</v>
          </cell>
          <cell r="H78">
            <v>20</v>
          </cell>
        </row>
        <row r="83">
          <cell r="F83">
            <v>1.055E-2</v>
          </cell>
        </row>
        <row r="87">
          <cell r="D87">
            <v>25</v>
          </cell>
          <cell r="E87">
            <v>12.5</v>
          </cell>
        </row>
        <row r="89">
          <cell r="D89">
            <v>40.54</v>
          </cell>
        </row>
        <row r="98">
          <cell r="D98">
            <v>16</v>
          </cell>
          <cell r="E98">
            <v>12.5</v>
          </cell>
        </row>
        <row r="100">
          <cell r="D100">
            <v>15.89</v>
          </cell>
        </row>
        <row r="109">
          <cell r="D109">
            <v>0.53300000000000003</v>
          </cell>
        </row>
        <row r="110">
          <cell r="D110">
            <v>0.82199999999999995</v>
          </cell>
        </row>
        <row r="115">
          <cell r="H115">
            <v>104.2</v>
          </cell>
        </row>
        <row r="121">
          <cell r="J121">
            <v>7.9</v>
          </cell>
        </row>
        <row r="128">
          <cell r="D128">
            <v>0.38300000000000001</v>
          </cell>
        </row>
        <row r="129">
          <cell r="D129">
            <v>0.872</v>
          </cell>
        </row>
        <row r="134">
          <cell r="I134">
            <v>75.8</v>
          </cell>
        </row>
        <row r="140">
          <cell r="J140">
            <v>3.1</v>
          </cell>
        </row>
        <row r="145">
          <cell r="D145">
            <v>10</v>
          </cell>
          <cell r="E145">
            <v>13</v>
          </cell>
          <cell r="F145">
            <v>16</v>
          </cell>
          <cell r="G145">
            <v>19</v>
          </cell>
          <cell r="H145">
            <v>22</v>
          </cell>
        </row>
        <row r="146">
          <cell r="D146">
            <v>0.71330000000000005</v>
          </cell>
          <cell r="E146">
            <v>1.2669999999999999</v>
          </cell>
          <cell r="F146">
            <v>1.986</v>
          </cell>
          <cell r="G146">
            <v>2.8650000000000002</v>
          </cell>
          <cell r="H146">
            <v>3.871</v>
          </cell>
        </row>
        <row r="148">
          <cell r="D148">
            <v>25</v>
          </cell>
          <cell r="E148">
            <v>29</v>
          </cell>
          <cell r="F148">
            <v>32</v>
          </cell>
          <cell r="G148">
            <v>35</v>
          </cell>
          <cell r="H148">
            <v>38</v>
          </cell>
        </row>
        <row r="149">
          <cell r="D149">
            <v>5.0670000000000002</v>
          </cell>
          <cell r="E149">
            <v>6.4240000000000004</v>
          </cell>
          <cell r="F149">
            <v>7.9420000000000002</v>
          </cell>
          <cell r="G149">
            <v>9.5660000000000007</v>
          </cell>
          <cell r="H149">
            <v>11.4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48"/>
  <sheetViews>
    <sheetView showGridLines="0" tabSelected="1" defaultGridColor="0" colorId="8" workbookViewId="0">
      <selection activeCell="D6" sqref="D6"/>
    </sheetView>
  </sheetViews>
  <sheetFormatPr defaultRowHeight="13.5" x14ac:dyDescent="0.15"/>
  <cols>
    <col min="1" max="1" width="4.625" style="5" customWidth="1"/>
    <col min="2" max="10" width="10.5" style="5" customWidth="1"/>
    <col min="11" max="16384" width="9" style="5"/>
  </cols>
  <sheetData>
    <row r="2" spans="2:12" x14ac:dyDescent="0.15">
      <c r="B2" s="75"/>
      <c r="C2" s="72" t="s">
        <v>105</v>
      </c>
      <c r="D2" s="6"/>
      <c r="E2" s="6"/>
      <c r="F2" s="6"/>
      <c r="G2" s="6"/>
    </row>
    <row r="3" spans="2:12" x14ac:dyDescent="0.15">
      <c r="B3" s="32" t="s">
        <v>103</v>
      </c>
      <c r="C3" s="32"/>
      <c r="D3" s="32" t="s">
        <v>0</v>
      </c>
      <c r="E3" s="32"/>
      <c r="F3" s="74">
        <v>1</v>
      </c>
    </row>
    <row r="4" spans="2:12" x14ac:dyDescent="0.15">
      <c r="B4" s="52" t="s">
        <v>133</v>
      </c>
      <c r="C4" s="32"/>
      <c r="D4" s="32"/>
      <c r="E4" s="32"/>
    </row>
    <row r="5" spans="2:12" x14ac:dyDescent="0.15">
      <c r="B5" s="72"/>
      <c r="C5" s="72"/>
      <c r="D5" s="6"/>
      <c r="E5" s="6"/>
      <c r="F5" s="6"/>
      <c r="G5" s="6"/>
    </row>
    <row r="6" spans="2:12" x14ac:dyDescent="0.15">
      <c r="B6" s="3" t="s">
        <v>116</v>
      </c>
      <c r="C6" s="3"/>
      <c r="D6" s="3"/>
      <c r="E6" s="3"/>
    </row>
    <row r="8" spans="2:12" x14ac:dyDescent="0.15">
      <c r="B8" s="3" t="s">
        <v>1</v>
      </c>
      <c r="C8" s="3"/>
      <c r="D8" s="3"/>
      <c r="E8" s="3"/>
      <c r="F8" s="3"/>
      <c r="G8" s="3"/>
      <c r="H8" s="3"/>
    </row>
    <row r="9" spans="2:12" x14ac:dyDescent="0.15">
      <c r="B9" s="3"/>
      <c r="C9" s="3"/>
      <c r="D9" s="3"/>
      <c r="E9" s="3"/>
      <c r="F9" s="3"/>
      <c r="G9" s="3"/>
      <c r="H9" s="3"/>
    </row>
    <row r="10" spans="2:12" x14ac:dyDescent="0.15">
      <c r="B10"/>
      <c r="C10" s="13" t="s">
        <v>2</v>
      </c>
      <c r="D10" s="7"/>
      <c r="E10" s="51" t="s">
        <v>3</v>
      </c>
      <c r="F10" s="8"/>
    </row>
    <row r="11" spans="2:12" x14ac:dyDescent="0.15">
      <c r="B11"/>
      <c r="C11" s="13" t="s">
        <v>4</v>
      </c>
      <c r="D11" s="3"/>
      <c r="F11" s="3" t="s">
        <v>5</v>
      </c>
      <c r="G11" s="73">
        <v>2</v>
      </c>
      <c r="H11" s="3" t="s">
        <v>6</v>
      </c>
      <c r="I11" s="3"/>
      <c r="J11" s="3"/>
    </row>
    <row r="12" spans="2:12" x14ac:dyDescent="0.15">
      <c r="B12"/>
      <c r="C12" s="13" t="s">
        <v>7</v>
      </c>
      <c r="D12" s="3"/>
      <c r="E12" s="3" t="s">
        <v>8</v>
      </c>
      <c r="F12" s="3" t="s">
        <v>9</v>
      </c>
      <c r="G12" s="73">
        <v>1</v>
      </c>
      <c r="H12" s="3" t="s">
        <v>6</v>
      </c>
      <c r="I12" s="88" t="s">
        <v>117</v>
      </c>
      <c r="J12" s="3"/>
    </row>
    <row r="13" spans="2:12" x14ac:dyDescent="0.15">
      <c r="B13"/>
      <c r="C13" s="13" t="s">
        <v>10</v>
      </c>
      <c r="D13" s="3"/>
      <c r="E13" s="3" t="s">
        <v>11</v>
      </c>
      <c r="F13" s="3" t="s">
        <v>12</v>
      </c>
      <c r="G13" s="74">
        <v>5</v>
      </c>
      <c r="H13" s="3" t="s">
        <v>13</v>
      </c>
      <c r="I13" s="3" t="str">
        <f>IF(舗装種別=1,"（アスファルト）","（コンクリート）")</f>
        <v>（アスファルト）</v>
      </c>
      <c r="J13" s="3"/>
    </row>
    <row r="14" spans="2:12" x14ac:dyDescent="0.15">
      <c r="B14"/>
      <c r="C14" s="13" t="s">
        <v>14</v>
      </c>
      <c r="D14" s="3"/>
      <c r="E14" s="32" t="s">
        <v>15</v>
      </c>
      <c r="F14" s="9"/>
    </row>
    <row r="15" spans="2:12" ht="15.75" x14ac:dyDescent="0.15">
      <c r="B15"/>
      <c r="C15" s="69" t="s">
        <v>16</v>
      </c>
      <c r="D15" s="70" t="s">
        <v>101</v>
      </c>
      <c r="E15" s="3" t="s">
        <v>17</v>
      </c>
      <c r="F15" s="100">
        <v>8</v>
      </c>
      <c r="G15" s="72" t="s">
        <v>104</v>
      </c>
      <c r="H15" s="66"/>
      <c r="I15" s="3"/>
    </row>
    <row r="16" spans="2:12" ht="15.75" x14ac:dyDescent="0.15">
      <c r="B16" s="3"/>
      <c r="C16" s="3"/>
      <c r="D16" s="71" t="s">
        <v>93</v>
      </c>
      <c r="E16" s="3" t="s">
        <v>18</v>
      </c>
      <c r="F16" s="100">
        <v>140</v>
      </c>
      <c r="G16" s="72" t="s">
        <v>104</v>
      </c>
      <c r="H16" s="66"/>
      <c r="I16" s="3"/>
      <c r="K16" s="54"/>
      <c r="L16" s="54"/>
    </row>
    <row r="17" spans="2:10" x14ac:dyDescent="0.15">
      <c r="B17" s="3"/>
      <c r="C17" s="3"/>
      <c r="D17" s="3"/>
      <c r="I17" s="10" t="s">
        <v>19</v>
      </c>
    </row>
    <row r="18" spans="2:10" x14ac:dyDescent="0.15">
      <c r="B18" s="3"/>
      <c r="C18" s="3"/>
      <c r="D18" s="3"/>
    </row>
    <row r="19" spans="2:10" x14ac:dyDescent="0.15">
      <c r="B19" s="3"/>
      <c r="C19" s="3"/>
      <c r="D19" s="3"/>
    </row>
    <row r="20" spans="2:10" x14ac:dyDescent="0.15">
      <c r="B20" s="3"/>
      <c r="C20" s="3"/>
      <c r="D20" s="3"/>
    </row>
    <row r="21" spans="2:10" x14ac:dyDescent="0.15">
      <c r="B21" s="3"/>
      <c r="C21" s="3"/>
      <c r="D21" s="3"/>
    </row>
    <row r="22" spans="2:10" x14ac:dyDescent="0.15">
      <c r="B22" s="3"/>
      <c r="C22" s="3"/>
      <c r="D22" s="3"/>
    </row>
    <row r="23" spans="2:10" x14ac:dyDescent="0.15">
      <c r="B23" s="3"/>
      <c r="C23" s="3"/>
      <c r="D23" s="3"/>
    </row>
    <row r="24" spans="2:10" x14ac:dyDescent="0.15">
      <c r="B24" s="3"/>
      <c r="C24" s="3"/>
      <c r="D24" s="3"/>
      <c r="E24" s="10" t="s">
        <v>20</v>
      </c>
    </row>
    <row r="25" spans="2:10" x14ac:dyDescent="0.15">
      <c r="B25" s="3"/>
      <c r="C25" s="3"/>
      <c r="D25" s="3"/>
    </row>
    <row r="26" spans="2:10" x14ac:dyDescent="0.15">
      <c r="B26" s="3"/>
      <c r="C26" s="3"/>
      <c r="D26" s="3"/>
    </row>
    <row r="27" spans="2:10" x14ac:dyDescent="0.15">
      <c r="B27" s="3"/>
      <c r="C27" s="3"/>
      <c r="D27" s="3"/>
    </row>
    <row r="28" spans="2:10" x14ac:dyDescent="0.15">
      <c r="B28" s="3" t="s">
        <v>21</v>
      </c>
      <c r="C28" s="3"/>
      <c r="D28" s="3"/>
      <c r="E28" s="3" t="s">
        <v>22</v>
      </c>
      <c r="F28" s="3"/>
      <c r="G28" s="3"/>
      <c r="H28" s="3"/>
      <c r="I28" s="3"/>
      <c r="J28" s="3"/>
    </row>
    <row r="29" spans="2:10" x14ac:dyDescent="0.15">
      <c r="B29" s="3"/>
      <c r="C29" s="3"/>
      <c r="D29" s="3"/>
      <c r="E29" s="3"/>
      <c r="F29" s="3"/>
      <c r="G29" s="3"/>
      <c r="H29" s="3"/>
      <c r="I29" s="3"/>
      <c r="J29" s="3"/>
    </row>
    <row r="30" spans="2:10" x14ac:dyDescent="0.15">
      <c r="B30" s="3" t="s">
        <v>23</v>
      </c>
      <c r="C30" s="3" t="s">
        <v>24</v>
      </c>
      <c r="D30" s="3"/>
      <c r="E30" s="3"/>
      <c r="F30" s="3"/>
      <c r="G30" s="3"/>
      <c r="H30" s="3"/>
      <c r="I30" s="3"/>
      <c r="J30" s="3"/>
    </row>
    <row r="31" spans="2:10" x14ac:dyDescent="0.15">
      <c r="B31" s="3"/>
      <c r="C31" s="3"/>
      <c r="D31" s="3"/>
      <c r="E31" s="3"/>
      <c r="F31" s="3"/>
      <c r="G31" s="3"/>
      <c r="H31" s="3"/>
      <c r="I31" s="3"/>
      <c r="J31" s="3"/>
    </row>
    <row r="32" spans="2:10" x14ac:dyDescent="0.15">
      <c r="B32" s="3"/>
      <c r="C32" s="3" t="s">
        <v>25</v>
      </c>
      <c r="D32" s="3"/>
      <c r="E32" s="3"/>
      <c r="F32" s="3"/>
      <c r="G32" s="3"/>
      <c r="H32" s="3"/>
      <c r="I32" s="3"/>
      <c r="J32" s="3"/>
    </row>
    <row r="33" spans="2:10" x14ac:dyDescent="0.15">
      <c r="B33" s="3"/>
      <c r="C33" s="3" t="s">
        <v>90</v>
      </c>
      <c r="D33" s="3"/>
      <c r="E33" s="3"/>
      <c r="F33" s="3"/>
      <c r="G33" s="3"/>
      <c r="H33" s="3"/>
      <c r="I33" s="3"/>
      <c r="J33" s="3"/>
    </row>
    <row r="34" spans="2:10" x14ac:dyDescent="0.15">
      <c r="B34" s="3"/>
      <c r="C34" s="16" t="s">
        <v>26</v>
      </c>
      <c r="D34" s="3" t="s">
        <v>27</v>
      </c>
      <c r="E34" s="3"/>
      <c r="F34" s="3"/>
      <c r="G34" s="3"/>
      <c r="H34" s="3"/>
      <c r="I34" s="3"/>
      <c r="J34" s="3"/>
    </row>
    <row r="35" spans="2:10" x14ac:dyDescent="0.15">
      <c r="B35" s="3"/>
      <c r="C35" s="16" t="s">
        <v>28</v>
      </c>
      <c r="D35" s="3" t="s">
        <v>92</v>
      </c>
      <c r="E35" s="3"/>
      <c r="F35" s="3"/>
      <c r="G35" s="3"/>
      <c r="H35" s="11"/>
      <c r="I35" s="3"/>
      <c r="J35" s="3"/>
    </row>
    <row r="36" spans="2:10" x14ac:dyDescent="0.15">
      <c r="B36" s="3"/>
      <c r="C36" s="24" t="str">
        <f>"  Ｍli ＝ 0.80 × （ 0.12 × "&amp;FIXED(支間,3)&amp;" ＋ 0.07  ） × 100 ＝ "</f>
        <v xml:space="preserve">  Ｍli ＝ 0.80 × （ 0.12 × 2.000 ＋ 0.07  ） × 100 ＝ </v>
      </c>
      <c r="D36" s="3"/>
      <c r="E36" s="3"/>
      <c r="F36" s="3"/>
      <c r="G36" s="3"/>
      <c r="H36" s="11"/>
      <c r="I36" s="57">
        <f>ROUND(0.8*(0.12*支間+0.07)*100,3)</f>
        <v>24.8</v>
      </c>
      <c r="J36" s="3" t="s">
        <v>91</v>
      </c>
    </row>
    <row r="37" spans="2:10" x14ac:dyDescent="0.15">
      <c r="B37" s="3"/>
      <c r="C37" s="3"/>
      <c r="D37" s="12"/>
      <c r="E37" s="1"/>
      <c r="F37" s="14"/>
      <c r="G37" s="3"/>
      <c r="H37" s="16"/>
      <c r="I37" s="67"/>
      <c r="J37" s="3"/>
    </row>
    <row r="38" spans="2:10" x14ac:dyDescent="0.15">
      <c r="B38" s="3"/>
      <c r="C38" s="3"/>
      <c r="D38" s="3"/>
      <c r="E38" s="3"/>
      <c r="F38" s="3"/>
      <c r="G38" s="3"/>
    </row>
    <row r="39" spans="2:10" x14ac:dyDescent="0.15">
      <c r="B39" s="3"/>
      <c r="C39" s="3" t="s">
        <v>29</v>
      </c>
      <c r="D39" s="3"/>
      <c r="E39" s="3"/>
      <c r="F39" s="3"/>
      <c r="G39" s="3"/>
      <c r="H39" s="3"/>
      <c r="I39" s="3"/>
      <c r="J39" s="3"/>
    </row>
    <row r="40" spans="2:10" x14ac:dyDescent="0.15">
      <c r="B40" s="3"/>
      <c r="C40" s="3"/>
      <c r="D40" s="3"/>
      <c r="E40" s="3"/>
      <c r="F40" s="3"/>
      <c r="G40" s="3"/>
      <c r="H40" s="3"/>
      <c r="I40" s="3"/>
      <c r="J40" s="3"/>
    </row>
    <row r="41" spans="2:10" x14ac:dyDescent="0.15">
      <c r="D41" s="16" t="s">
        <v>30</v>
      </c>
      <c r="E41" s="76">
        <v>25</v>
      </c>
      <c r="F41" s="3" t="s">
        <v>13</v>
      </c>
      <c r="G41" s="3"/>
      <c r="H41" s="3"/>
      <c r="I41" s="3"/>
      <c r="J41" s="3"/>
    </row>
    <row r="42" spans="2:10" x14ac:dyDescent="0.15">
      <c r="C42" s="3"/>
      <c r="D42" s="3"/>
      <c r="F42" s="3"/>
      <c r="G42" s="3"/>
      <c r="H42" s="3"/>
      <c r="I42" s="3"/>
      <c r="J42" s="3"/>
    </row>
    <row r="43" spans="2:10" x14ac:dyDescent="0.15">
      <c r="C43" s="3" t="s">
        <v>31</v>
      </c>
      <c r="D43" s="3"/>
      <c r="E43" s="3"/>
      <c r="F43" s="3"/>
      <c r="G43" s="3"/>
      <c r="H43" s="3"/>
      <c r="I43" s="3"/>
      <c r="J43" s="3"/>
    </row>
    <row r="44" spans="2:10" x14ac:dyDescent="0.15">
      <c r="C44" s="3"/>
      <c r="D44" s="3"/>
      <c r="E44" s="3"/>
      <c r="F44" s="3"/>
      <c r="G44" s="3"/>
      <c r="H44" s="3"/>
      <c r="I44" s="3"/>
      <c r="J44" s="3"/>
    </row>
    <row r="45" spans="2:10" ht="15.75" x14ac:dyDescent="0.15">
      <c r="C45" s="3" t="s">
        <v>32</v>
      </c>
      <c r="D45" s="3"/>
      <c r="E45" s="3" t="str">
        <f>IF(舗装種別=1,"(ｱｽﾌｧﾙﾄ)","(ｺﾝｸﾘｰﾄ)")</f>
        <v>(ｱｽﾌｧﾙﾄ)</v>
      </c>
      <c r="F45" s="3" t="s">
        <v>33</v>
      </c>
      <c r="G45" s="55">
        <f>IF(舗装種別=1,ROUND(舗装厚/100*22.5,3),ROUND(舗装厚/100*23,3))</f>
        <v>1.125</v>
      </c>
      <c r="H45" s="3" t="s">
        <v>95</v>
      </c>
      <c r="I45" s="16" t="str">
        <f>IF(舗装種別=1,"(22.5 ","(23 ")</f>
        <v xml:space="preserve">(22.5 </v>
      </c>
      <c r="J45" s="17" t="s">
        <v>94</v>
      </c>
    </row>
    <row r="46" spans="2:10" x14ac:dyDescent="0.15">
      <c r="C46" s="3"/>
      <c r="D46" s="3"/>
      <c r="E46" s="3"/>
      <c r="F46" s="16"/>
      <c r="G46" s="2"/>
      <c r="H46" s="3"/>
      <c r="I46" s="16"/>
      <c r="J46" s="17"/>
    </row>
    <row r="47" spans="2:10" ht="15.75" x14ac:dyDescent="0.15">
      <c r="C47" s="3" t="s">
        <v>34</v>
      </c>
      <c r="D47" s="3"/>
      <c r="E47" s="3"/>
      <c r="F47" s="3" t="s">
        <v>35</v>
      </c>
      <c r="G47" s="55">
        <f>ROUND(床版厚/100*24.5,3)</f>
        <v>6.125</v>
      </c>
      <c r="H47" s="3" t="s">
        <v>95</v>
      </c>
      <c r="I47" s="16" t="s">
        <v>96</v>
      </c>
      <c r="J47" s="17" t="s">
        <v>94</v>
      </c>
    </row>
    <row r="48" spans="2:10" x14ac:dyDescent="0.15">
      <c r="C48" s="3"/>
      <c r="D48" s="3"/>
      <c r="E48" s="3"/>
      <c r="F48" s="16"/>
      <c r="G48" s="2"/>
      <c r="H48" s="3"/>
      <c r="I48" s="16"/>
      <c r="J48" s="17"/>
    </row>
    <row r="49" spans="2:10" x14ac:dyDescent="0.15">
      <c r="C49" s="3"/>
      <c r="D49" s="3"/>
      <c r="E49" s="3" t="s">
        <v>36</v>
      </c>
      <c r="F49" s="3" t="s">
        <v>37</v>
      </c>
      <c r="G49" s="55">
        <f>G45+G47</f>
        <v>7.25</v>
      </c>
      <c r="H49" s="3" t="s">
        <v>95</v>
      </c>
      <c r="I49" s="3"/>
      <c r="J49" s="3"/>
    </row>
    <row r="50" spans="2:10" x14ac:dyDescent="0.15">
      <c r="C50" s="3"/>
      <c r="D50" s="3"/>
      <c r="E50" s="3"/>
      <c r="F50" s="16"/>
      <c r="G50" s="2"/>
      <c r="H50" s="3"/>
      <c r="I50" s="3"/>
      <c r="J50" s="3"/>
    </row>
    <row r="51" spans="2:10" x14ac:dyDescent="0.15">
      <c r="C51" s="3"/>
      <c r="D51" s="3"/>
      <c r="F51" s="3"/>
      <c r="G51" s="3"/>
      <c r="H51" s="3"/>
      <c r="I51" s="3"/>
      <c r="J51" s="3"/>
    </row>
    <row r="52" spans="2:10" x14ac:dyDescent="0.15">
      <c r="B52" s="3"/>
      <c r="C52" s="3" t="s">
        <v>38</v>
      </c>
      <c r="D52" s="3"/>
      <c r="E52" s="3"/>
      <c r="F52" s="3"/>
      <c r="G52" s="3"/>
      <c r="H52" s="3"/>
      <c r="I52" s="3"/>
      <c r="J52" s="3"/>
    </row>
    <row r="53" spans="2:10" ht="15.75" x14ac:dyDescent="0.15">
      <c r="B53" s="3"/>
      <c r="C53" s="3" t="s">
        <v>39</v>
      </c>
      <c r="D53" s="3"/>
      <c r="E53" s="3"/>
      <c r="F53" s="3"/>
      <c r="G53" s="3"/>
      <c r="H53" s="3"/>
      <c r="I53" s="3"/>
      <c r="J53" s="3"/>
    </row>
    <row r="54" spans="2:10" x14ac:dyDescent="0.15">
      <c r="B54" s="3"/>
      <c r="C54" s="3" t="str">
        <f>"　＝ 1 ／ 8 × "&amp;FIXED(WW,3)&amp;" × "&amp;FIXED(支間,3)&amp;" 　＝ "</f>
        <v xml:space="preserve">　＝ 1 ／ 8 × 7.250 × 2.000 　＝ </v>
      </c>
      <c r="D54" s="3"/>
      <c r="E54" s="3"/>
      <c r="F54" s="3"/>
      <c r="G54" s="57">
        <f>ROUND(1/8*WW*支間^2,3)</f>
        <v>3.625</v>
      </c>
      <c r="H54" s="5" t="s">
        <v>97</v>
      </c>
      <c r="J54" s="3"/>
    </row>
    <row r="55" spans="2:10" x14ac:dyDescent="0.15">
      <c r="B55" s="3"/>
      <c r="C55" s="18"/>
      <c r="D55" s="18"/>
      <c r="E55" s="56"/>
      <c r="F55" s="16"/>
      <c r="G55" s="53"/>
      <c r="H55" s="3"/>
    </row>
    <row r="56" spans="2:10" x14ac:dyDescent="0.15">
      <c r="B56" s="3"/>
      <c r="C56" s="3"/>
      <c r="D56" s="3"/>
      <c r="E56" s="3"/>
      <c r="F56" s="3"/>
      <c r="J56" s="3"/>
    </row>
    <row r="57" spans="2:10" x14ac:dyDescent="0.15">
      <c r="B57" s="3"/>
      <c r="C57" s="3" t="s">
        <v>40</v>
      </c>
      <c r="D57" s="3"/>
      <c r="E57" s="3"/>
      <c r="F57" s="3"/>
      <c r="G57" s="3"/>
      <c r="H57" s="3"/>
      <c r="I57" s="3"/>
      <c r="J57" s="3"/>
    </row>
    <row r="58" spans="2:10" x14ac:dyDescent="0.15">
      <c r="B58" s="3"/>
      <c r="C58" s="3" t="s">
        <v>41</v>
      </c>
      <c r="D58" s="3"/>
      <c r="E58" s="3"/>
      <c r="F58" s="3"/>
      <c r="G58" s="3"/>
      <c r="H58" s="3"/>
      <c r="I58" s="3"/>
      <c r="J58" s="3"/>
    </row>
    <row r="59" spans="2:10" x14ac:dyDescent="0.15">
      <c r="B59" s="3"/>
      <c r="C59" s="3" t="str">
        <f>"   ＝ "&amp;FIXED(MLI,3)&amp;" ＋ "&amp;FIXED(MD,3)&amp;" ＝"</f>
        <v xml:space="preserve">   ＝ 24.800 ＋ 3.625 ＝</v>
      </c>
      <c r="D59" s="3"/>
      <c r="E59" s="3"/>
      <c r="F59" s="1"/>
      <c r="G59" s="58">
        <f>MLI+MD</f>
        <v>28.425000000000001</v>
      </c>
      <c r="H59" s="3" t="s">
        <v>91</v>
      </c>
      <c r="J59" s="3"/>
    </row>
    <row r="60" spans="2:10" x14ac:dyDescent="0.15">
      <c r="B60" s="3"/>
      <c r="C60" s="3"/>
      <c r="D60" s="59"/>
      <c r="E60" s="1"/>
      <c r="F60" s="16"/>
      <c r="G60" s="60"/>
      <c r="H60" s="3"/>
    </row>
    <row r="61" spans="2:10" x14ac:dyDescent="0.15">
      <c r="B61" s="3"/>
      <c r="C61" s="3"/>
      <c r="D61" s="3"/>
      <c r="E61" s="3"/>
      <c r="F61" s="3"/>
      <c r="G61" s="3"/>
    </row>
    <row r="62" spans="2:10" x14ac:dyDescent="0.15">
      <c r="B62" s="3" t="s">
        <v>42</v>
      </c>
      <c r="C62" s="3" t="s">
        <v>43</v>
      </c>
      <c r="D62" s="3"/>
      <c r="E62" s="3"/>
      <c r="F62" s="3"/>
      <c r="G62" s="3"/>
      <c r="H62" s="3"/>
      <c r="I62" s="3"/>
      <c r="J62" s="3"/>
    </row>
    <row r="63" spans="2:10" x14ac:dyDescent="0.15">
      <c r="B63" s="3"/>
      <c r="C63" s="3" t="s">
        <v>44</v>
      </c>
      <c r="D63" s="3"/>
      <c r="E63" s="3"/>
      <c r="F63" s="3"/>
      <c r="G63" s="3"/>
      <c r="H63" s="3"/>
      <c r="I63" s="3"/>
      <c r="J63" s="3"/>
    </row>
    <row r="64" spans="2:10" x14ac:dyDescent="0.15">
      <c r="B64" s="3"/>
      <c r="C64" s="3" t="str">
        <f>"　＝ 0.80 × （ 0.10 × "&amp;FIXED(支間,3)&amp;" ＋ 0.04 ） × 100 ＝"</f>
        <v>　＝ 0.80 × （ 0.10 × 2.000 ＋ 0.04 ） × 100 ＝</v>
      </c>
      <c r="D64" s="3"/>
      <c r="E64" s="3"/>
      <c r="F64" s="3"/>
      <c r="G64" s="3"/>
      <c r="H64" s="58">
        <f>ROUND(0.8*(0.1*支間+0.04)*100,3)</f>
        <v>19.2</v>
      </c>
      <c r="I64" s="3" t="s">
        <v>91</v>
      </c>
      <c r="J64" s="3"/>
    </row>
    <row r="65" spans="2:10" x14ac:dyDescent="0.15">
      <c r="B65" s="3"/>
      <c r="C65" s="3"/>
      <c r="D65" s="19"/>
      <c r="E65" s="69"/>
      <c r="F65" s="68"/>
      <c r="G65" s="61"/>
      <c r="H65" s="53"/>
      <c r="I65" s="3"/>
    </row>
    <row r="67" spans="2:10" x14ac:dyDescent="0.15">
      <c r="H67" s="61"/>
      <c r="I67" s="53"/>
      <c r="J67" s="3"/>
    </row>
    <row r="68" spans="2:10" x14ac:dyDescent="0.15">
      <c r="B68" s="3" t="s">
        <v>45</v>
      </c>
      <c r="C68" s="3"/>
      <c r="D68" s="3"/>
      <c r="E68" s="3"/>
      <c r="F68" s="3"/>
      <c r="G68" s="3"/>
      <c r="H68" s="3"/>
      <c r="I68" s="3"/>
      <c r="J68" s="3"/>
    </row>
    <row r="69" spans="2:10" x14ac:dyDescent="0.15">
      <c r="B69" s="3"/>
      <c r="C69" s="3"/>
      <c r="D69" s="3"/>
      <c r="E69" s="3"/>
      <c r="F69" s="3"/>
      <c r="G69" s="3"/>
      <c r="H69" s="3"/>
      <c r="I69" s="3"/>
      <c r="J69" s="3"/>
    </row>
    <row r="70" spans="2:10" x14ac:dyDescent="0.15">
      <c r="B70" s="3" t="s">
        <v>23</v>
      </c>
      <c r="C70" s="3" t="s">
        <v>46</v>
      </c>
      <c r="D70" s="3"/>
      <c r="E70" s="3"/>
      <c r="F70" s="3"/>
      <c r="G70" s="3"/>
      <c r="H70" s="3"/>
      <c r="I70" s="3"/>
      <c r="J70" s="3"/>
    </row>
    <row r="71" spans="2:10" x14ac:dyDescent="0.15">
      <c r="B71" s="3"/>
      <c r="C71" s="3"/>
      <c r="D71" s="3"/>
      <c r="E71" s="20"/>
      <c r="F71" s="3" t="s">
        <v>47</v>
      </c>
      <c r="G71" s="3"/>
      <c r="H71" s="3"/>
      <c r="I71" s="3"/>
      <c r="J71" s="3"/>
    </row>
    <row r="72" spans="2:10" x14ac:dyDescent="0.15">
      <c r="B72" s="3"/>
      <c r="C72" s="3" t="s">
        <v>48</v>
      </c>
      <c r="D72" s="3" t="s">
        <v>49</v>
      </c>
      <c r="E72" s="3"/>
      <c r="F72" s="3"/>
      <c r="G72" s="3"/>
      <c r="H72" s="3"/>
      <c r="I72" s="3"/>
      <c r="J72" s="3"/>
    </row>
    <row r="73" spans="2:10" x14ac:dyDescent="0.15">
      <c r="B73" s="3"/>
      <c r="C73" s="3"/>
      <c r="D73" s="3"/>
      <c r="E73" s="16" t="s">
        <v>50</v>
      </c>
      <c r="F73" s="21">
        <f>ROUND((15*σca+σsa)/(15*σca)*SQRT(6*15/(2*15*σca+3*σsa)),3)</f>
        <v>0.8</v>
      </c>
      <c r="G73" s="3"/>
      <c r="H73" s="3"/>
      <c r="I73" s="3"/>
      <c r="J73" s="3"/>
    </row>
    <row r="74" spans="2:10" x14ac:dyDescent="0.15">
      <c r="B74" s="3"/>
      <c r="C74" s="3"/>
      <c r="D74" s="3"/>
      <c r="E74" s="3"/>
      <c r="F74" s="3" t="s">
        <v>51</v>
      </c>
      <c r="G74" s="20"/>
      <c r="H74" s="3"/>
      <c r="I74" s="3"/>
      <c r="J74" s="3"/>
    </row>
    <row r="75" spans="2:10" x14ac:dyDescent="0.15">
      <c r="B75" s="3"/>
      <c r="C75" s="3" t="s">
        <v>52</v>
      </c>
      <c r="D75" s="22">
        <f>_CC1</f>
        <v>0.8</v>
      </c>
      <c r="E75" s="3" t="s">
        <v>53</v>
      </c>
      <c r="F75" s="58">
        <f>_M1</f>
        <v>28.425000000000001</v>
      </c>
      <c r="G75" s="3" t="s">
        <v>100</v>
      </c>
      <c r="H75" s="1"/>
      <c r="I75" s="4">
        <f>_CC1*SQRT(_M1*1000/100)</f>
        <v>13.487772240069894</v>
      </c>
      <c r="J75" s="3" t="s">
        <v>13</v>
      </c>
    </row>
    <row r="76" spans="2:10" x14ac:dyDescent="0.15">
      <c r="B76" s="3"/>
      <c r="C76" s="16" t="s">
        <v>54</v>
      </c>
      <c r="D76" s="77">
        <v>10</v>
      </c>
      <c r="E76" s="1" t="s">
        <v>55</v>
      </c>
      <c r="F76" s="48">
        <f>H</f>
        <v>25</v>
      </c>
      <c r="G76" s="1" t="s">
        <v>56</v>
      </c>
      <c r="H76" s="23">
        <f>F76-D76</f>
        <v>15</v>
      </c>
      <c r="I76" s="24" t="s">
        <v>57</v>
      </c>
    </row>
    <row r="77" spans="2:10" x14ac:dyDescent="0.15">
      <c r="B77" s="3"/>
      <c r="C77" s="3"/>
      <c r="D77" s="3"/>
      <c r="E77" s="3"/>
      <c r="F77" s="3"/>
      <c r="G77" s="3"/>
      <c r="H77" s="3"/>
      <c r="I77" s="3"/>
      <c r="J77" s="3"/>
    </row>
    <row r="78" spans="2:10" x14ac:dyDescent="0.15">
      <c r="B78" s="3" t="s">
        <v>42</v>
      </c>
      <c r="C78" s="3" t="s">
        <v>58</v>
      </c>
      <c r="D78" s="3"/>
      <c r="E78" s="3"/>
      <c r="F78" s="3"/>
      <c r="G78" s="3"/>
      <c r="H78" s="3"/>
      <c r="I78" s="3"/>
      <c r="J78" s="3"/>
    </row>
    <row r="79" spans="2:10" x14ac:dyDescent="0.15">
      <c r="B79" s="3"/>
      <c r="C79" s="3"/>
      <c r="D79" s="3"/>
      <c r="E79" s="3"/>
      <c r="F79" s="3" t="s">
        <v>59</v>
      </c>
      <c r="G79" s="3"/>
      <c r="H79" s="3"/>
      <c r="I79" s="3"/>
      <c r="J79" s="3"/>
    </row>
    <row r="80" spans="2:10" x14ac:dyDescent="0.15">
      <c r="B80" s="3"/>
      <c r="C80" s="3"/>
      <c r="D80" s="3" t="s">
        <v>60</v>
      </c>
      <c r="E80" s="3"/>
      <c r="F80" s="3"/>
      <c r="G80" s="3"/>
      <c r="H80" s="3"/>
      <c r="I80" s="3"/>
      <c r="J80" s="3"/>
    </row>
    <row r="81" spans="2:10" x14ac:dyDescent="0.15">
      <c r="B81" s="3"/>
      <c r="C81" s="3"/>
      <c r="E81" s="16" t="s">
        <v>61</v>
      </c>
      <c r="F81" s="25">
        <f>ROUND(σca/(2*σsa)*SQRT(6*15/(2*15*σca+3*σsa)),5)</f>
        <v>1.055E-2</v>
      </c>
      <c r="G81" s="3"/>
      <c r="H81" s="3"/>
      <c r="I81" s="3"/>
      <c r="J81" s="3"/>
    </row>
    <row r="82" spans="2:10" x14ac:dyDescent="0.15">
      <c r="B82" s="3"/>
      <c r="C82" s="3"/>
      <c r="D82" s="3"/>
      <c r="E82" s="3"/>
      <c r="F82" s="3" t="s">
        <v>51</v>
      </c>
      <c r="G82" s="20"/>
      <c r="H82" s="3"/>
      <c r="I82" s="3"/>
      <c r="J82" s="3"/>
    </row>
    <row r="83" spans="2:10" x14ac:dyDescent="0.15">
      <c r="B83" s="3"/>
      <c r="C83" s="3" t="s">
        <v>62</v>
      </c>
      <c r="D83" s="26">
        <f>_CC2</f>
        <v>1.055E-2</v>
      </c>
      <c r="E83" s="1" t="s">
        <v>53</v>
      </c>
      <c r="F83" s="56">
        <f>_M1</f>
        <v>28.425000000000001</v>
      </c>
      <c r="G83" s="101" t="s">
        <v>98</v>
      </c>
      <c r="H83" s="101"/>
      <c r="I83" s="4">
        <f>_CC2*SQRT(_M1*1000*100)</f>
        <v>17.786999641592171</v>
      </c>
      <c r="J83" s="3" t="s">
        <v>63</v>
      </c>
    </row>
    <row r="84" spans="2:10" x14ac:dyDescent="0.15">
      <c r="B84" s="3"/>
      <c r="C84" s="3"/>
      <c r="D84" s="3"/>
      <c r="E84" s="3"/>
      <c r="F84" s="3"/>
      <c r="G84" s="3"/>
      <c r="H84" s="3"/>
      <c r="I84" s="3"/>
      <c r="J84" s="3"/>
    </row>
    <row r="85" spans="2:10" x14ac:dyDescent="0.15">
      <c r="C85" s="16" t="s">
        <v>64</v>
      </c>
      <c r="D85" s="78">
        <v>19</v>
      </c>
      <c r="E85" s="79">
        <v>15</v>
      </c>
      <c r="F85" s="24" t="s">
        <v>65</v>
      </c>
      <c r="G85" s="3"/>
      <c r="H85" s="3"/>
    </row>
    <row r="86" spans="2:10" ht="14.25" hidden="1" x14ac:dyDescent="0.15">
      <c r="C86" s="49"/>
      <c r="D86" s="50">
        <f>IF(D85&lt;23,LOOKUP(D85,鉄筋表1),LOOKUP(D85,鉄筋表2))</f>
        <v>2.8650000000000002</v>
      </c>
      <c r="E86" s="3"/>
      <c r="F86" s="3"/>
      <c r="G86" s="3"/>
    </row>
    <row r="87" spans="2:10" x14ac:dyDescent="0.15">
      <c r="C87" s="3" t="s">
        <v>66</v>
      </c>
      <c r="D87" s="4">
        <f>ROUND(100/E85*D86,2)</f>
        <v>19.100000000000001</v>
      </c>
      <c r="E87" s="13" t="str">
        <f>IF(D87&gt;I83,"＞Ａｓ＝","＜Ａｓ＝")</f>
        <v>＞Ａｓ＝</v>
      </c>
      <c r="F87" s="4">
        <f>I83</f>
        <v>17.786999641592171</v>
      </c>
      <c r="G87" s="3" t="s">
        <v>63</v>
      </c>
      <c r="H87" s="27" t="str">
        <f>IF(D87&gt;I83,"ＯＫ！","ＮＯ！")</f>
        <v>ＯＫ！</v>
      </c>
    </row>
    <row r="88" spans="2:10" x14ac:dyDescent="0.15">
      <c r="C88" s="3"/>
      <c r="D88" s="3"/>
      <c r="E88" s="3"/>
      <c r="F88" s="3"/>
      <c r="G88" s="3"/>
    </row>
    <row r="89" spans="2:10" x14ac:dyDescent="0.15">
      <c r="C89" s="3"/>
      <c r="D89" s="3"/>
      <c r="E89" s="3"/>
      <c r="F89" s="3"/>
      <c r="G89" s="3"/>
    </row>
    <row r="90" spans="2:10" x14ac:dyDescent="0.15">
      <c r="B90" s="3" t="s">
        <v>67</v>
      </c>
      <c r="C90" s="3" t="s">
        <v>68</v>
      </c>
      <c r="D90" s="3"/>
      <c r="E90" s="3"/>
      <c r="F90" s="3"/>
      <c r="G90" s="3"/>
      <c r="H90" s="3"/>
      <c r="I90" s="3"/>
      <c r="J90" s="3"/>
    </row>
    <row r="91" spans="2:10" x14ac:dyDescent="0.15">
      <c r="B91" s="3"/>
      <c r="C91" s="3"/>
      <c r="D91" s="3"/>
      <c r="E91" s="3"/>
      <c r="F91" s="3" t="s">
        <v>59</v>
      </c>
      <c r="G91" s="3"/>
      <c r="H91" s="3"/>
      <c r="I91" s="3"/>
      <c r="J91" s="3"/>
    </row>
    <row r="92" spans="2:10" x14ac:dyDescent="0.15">
      <c r="B92" s="3"/>
      <c r="C92" s="3"/>
      <c r="D92" s="3" t="s">
        <v>69</v>
      </c>
      <c r="E92" s="3"/>
      <c r="F92" s="3"/>
      <c r="G92" s="3"/>
      <c r="H92" s="3"/>
      <c r="I92" s="3"/>
      <c r="J92" s="3"/>
    </row>
    <row r="93" spans="2:10" x14ac:dyDescent="0.15">
      <c r="B93" s="3"/>
      <c r="C93" s="3"/>
      <c r="E93" s="16" t="s">
        <v>61</v>
      </c>
      <c r="F93" s="25">
        <f>ROUND(σca/(2*σsa)*SQRT(6*15/(2*15*σca+3*σsa)),5)</f>
        <v>1.055E-2</v>
      </c>
      <c r="G93" s="3"/>
      <c r="H93" s="3"/>
      <c r="I93" s="3"/>
      <c r="J93" s="3"/>
    </row>
    <row r="94" spans="2:10" x14ac:dyDescent="0.15">
      <c r="B94" s="3"/>
      <c r="C94" s="3"/>
      <c r="D94" s="3"/>
      <c r="E94" s="3"/>
      <c r="F94" s="3" t="s">
        <v>51</v>
      </c>
      <c r="G94" s="20"/>
      <c r="H94" s="3"/>
      <c r="I94" s="3"/>
      <c r="J94" s="3"/>
    </row>
    <row r="95" spans="2:10" x14ac:dyDescent="0.15">
      <c r="B95" s="3"/>
      <c r="C95" s="3" t="s">
        <v>70</v>
      </c>
      <c r="D95" s="28">
        <f>_CC2</f>
        <v>1.055E-2</v>
      </c>
      <c r="E95" s="1" t="s">
        <v>71</v>
      </c>
      <c r="F95" s="59">
        <f>_M2</f>
        <v>19.2</v>
      </c>
      <c r="G95" s="101" t="s">
        <v>99</v>
      </c>
      <c r="H95" s="101"/>
      <c r="I95" s="4">
        <f>_CC2*SQRT(_M2*1000*100)</f>
        <v>14.618508815881324</v>
      </c>
      <c r="J95" s="3" t="s">
        <v>63</v>
      </c>
    </row>
    <row r="96" spans="2:10" x14ac:dyDescent="0.15">
      <c r="B96" s="3"/>
      <c r="C96" s="3" t="s">
        <v>64</v>
      </c>
      <c r="D96" s="78">
        <v>16</v>
      </c>
      <c r="E96" s="79">
        <v>12.5</v>
      </c>
      <c r="F96" s="3" t="s">
        <v>72</v>
      </c>
      <c r="G96" s="3"/>
      <c r="H96" s="3"/>
      <c r="I96" s="3"/>
    </row>
    <row r="97" spans="2:9" ht="14.25" hidden="1" x14ac:dyDescent="0.15">
      <c r="B97" s="3"/>
      <c r="C97" s="3"/>
      <c r="D97" s="50">
        <f>IF(D96&lt;23,LOOKUP(D96,鉄筋表1),LOOKUP(D96,鉄筋表2))</f>
        <v>1.986</v>
      </c>
      <c r="E97" s="3"/>
      <c r="F97" s="3"/>
      <c r="G97" s="3"/>
      <c r="H97" s="3"/>
      <c r="I97" s="3"/>
    </row>
    <row r="98" spans="2:9" x14ac:dyDescent="0.15">
      <c r="B98" s="3"/>
      <c r="C98" s="3" t="s">
        <v>73</v>
      </c>
      <c r="D98" s="29">
        <f>ROUND(100/E96*D97,2)</f>
        <v>15.89</v>
      </c>
      <c r="E98" s="13" t="s">
        <v>74</v>
      </c>
      <c r="F98" s="4">
        <f>I95</f>
        <v>14.618508815881324</v>
      </c>
      <c r="G98" s="3" t="s">
        <v>63</v>
      </c>
      <c r="H98" s="27" t="str">
        <f>IF(D98&gt;I95,"ＯＫ！","ＮＯ！")</f>
        <v>ＯＫ！</v>
      </c>
    </row>
    <row r="99" spans="2:9" x14ac:dyDescent="0.15">
      <c r="B99" s="3"/>
      <c r="C99" s="3"/>
      <c r="D99" s="3"/>
      <c r="E99" s="3"/>
      <c r="F99" s="3"/>
      <c r="G99" s="3"/>
      <c r="H99" s="3"/>
      <c r="I99" s="3"/>
    </row>
    <row r="100" spans="2:9" x14ac:dyDescent="0.15">
      <c r="B100" s="3"/>
      <c r="C100" s="3"/>
      <c r="D100" s="3"/>
      <c r="E100" s="3"/>
      <c r="F100" s="3"/>
      <c r="G100" s="3"/>
      <c r="H100" s="3"/>
      <c r="I100" s="3"/>
    </row>
    <row r="101" spans="2:9" x14ac:dyDescent="0.15">
      <c r="B101" s="3" t="s">
        <v>75</v>
      </c>
      <c r="C101" s="3"/>
      <c r="D101" s="3"/>
      <c r="E101" s="3"/>
      <c r="F101" s="3"/>
      <c r="G101" s="3"/>
      <c r="H101" s="3"/>
      <c r="I101" s="3"/>
    </row>
    <row r="102" spans="2:9" x14ac:dyDescent="0.15">
      <c r="B102" s="3"/>
      <c r="C102" s="3"/>
      <c r="D102" s="3"/>
      <c r="E102" s="3"/>
      <c r="F102" s="3"/>
      <c r="G102" s="3"/>
      <c r="H102" s="3"/>
      <c r="I102" s="3"/>
    </row>
    <row r="103" spans="2:9" x14ac:dyDescent="0.15">
      <c r="B103" s="3" t="s">
        <v>23</v>
      </c>
      <c r="C103" s="3" t="s">
        <v>2</v>
      </c>
      <c r="D103" s="3"/>
      <c r="E103" s="3"/>
      <c r="F103" s="3"/>
      <c r="G103" s="3"/>
      <c r="H103" s="3"/>
      <c r="I103" s="3"/>
    </row>
    <row r="104" spans="2:9" x14ac:dyDescent="0.15">
      <c r="B104" s="3"/>
      <c r="C104" s="3"/>
      <c r="D104" s="3"/>
      <c r="E104" s="3"/>
      <c r="F104" s="3"/>
      <c r="G104" s="3"/>
      <c r="H104" s="3"/>
      <c r="I104" s="3"/>
    </row>
    <row r="105" spans="2:9" x14ac:dyDescent="0.15">
      <c r="C105" s="3" t="s">
        <v>76</v>
      </c>
      <c r="D105" s="3"/>
      <c r="E105" s="3"/>
      <c r="F105" s="3"/>
      <c r="G105" s="3"/>
      <c r="H105" s="3"/>
      <c r="I105" s="3"/>
    </row>
    <row r="106" spans="2:9" x14ac:dyDescent="0.15">
      <c r="C106" s="3" t="str">
        <f>"　＝ "&amp;FIXED(AS,2)&amp;" ／ （ 100 × "&amp;FIXED(SD,0)&amp;"） ＝"</f>
        <v>　＝ 19.10 ／ （ 100 × 15） ＝</v>
      </c>
      <c r="D106" s="3"/>
      <c r="E106" s="3"/>
      <c r="F106" s="30">
        <f>ROUND(AS/(100*SD),4)</f>
        <v>1.2699999999999999E-2</v>
      </c>
      <c r="G106" s="3"/>
      <c r="H106" s="3"/>
      <c r="I106" s="3"/>
    </row>
    <row r="107" spans="2:9" x14ac:dyDescent="0.15">
      <c r="B107" s="3"/>
      <c r="C107" s="16" t="s">
        <v>77</v>
      </c>
      <c r="D107" s="21">
        <f>ROUND(SQRT(2*15*F106+(15*F106)^2)-15*F106,3)</f>
        <v>0.45500000000000002</v>
      </c>
      <c r="E107" s="3"/>
      <c r="F107" s="3"/>
      <c r="G107" s="3"/>
      <c r="H107" s="3"/>
      <c r="I107" s="3"/>
    </row>
    <row r="108" spans="2:9" x14ac:dyDescent="0.15">
      <c r="B108" s="3"/>
      <c r="C108" s="16" t="s">
        <v>78</v>
      </c>
      <c r="D108" s="21">
        <f>ROUND(1-K/3,3)</f>
        <v>0.84799999999999998</v>
      </c>
      <c r="E108" s="3"/>
      <c r="F108" s="3"/>
      <c r="G108" s="3"/>
      <c r="H108" s="3"/>
    </row>
    <row r="110" spans="2:9" x14ac:dyDescent="0.15">
      <c r="B110" s="3"/>
      <c r="C110" s="3" t="s">
        <v>79</v>
      </c>
      <c r="D110" s="3"/>
      <c r="E110" s="3"/>
      <c r="F110" s="3"/>
      <c r="G110" s="3"/>
      <c r="H110" s="3"/>
      <c r="I110" s="3"/>
    </row>
    <row r="111" spans="2:9" x14ac:dyDescent="0.15">
      <c r="B111" s="3"/>
      <c r="C111" s="3"/>
      <c r="D111" s="3"/>
      <c r="E111" s="3"/>
      <c r="F111" s="3"/>
      <c r="G111" s="3"/>
      <c r="H111" s="3"/>
      <c r="I111" s="3"/>
    </row>
    <row r="112" spans="2:9" x14ac:dyDescent="0.15">
      <c r="C112" s="3" t="s">
        <v>80</v>
      </c>
      <c r="D112" s="3"/>
      <c r="E112" s="3"/>
      <c r="F112" s="3"/>
      <c r="G112" s="3"/>
      <c r="H112" s="3"/>
      <c r="I112" s="3"/>
    </row>
    <row r="113" spans="2:10" x14ac:dyDescent="0.15">
      <c r="C113" s="3" t="str">
        <f>"　＝ "&amp;FIXED(_M1,3)&amp;" × 1000 ／ （ "&amp;FIXED(AS,2)&amp;" × "&amp;FIXED(J,3)&amp;" × "&amp;FIXED(SD,0)&amp;" ） ＝"</f>
        <v>　＝ 28.425 × 1000 ／ （ 19.10 × 0.848 × 15 ） ＝</v>
      </c>
      <c r="D113" s="3"/>
      <c r="E113" s="3"/>
      <c r="F113" s="3"/>
      <c r="G113" s="3"/>
      <c r="H113" s="63">
        <f>ROUND(_M1*1000/(AS*J*SD),1)</f>
        <v>117</v>
      </c>
      <c r="I113" s="3"/>
    </row>
    <row r="114" spans="2:10" ht="15.75" x14ac:dyDescent="0.15">
      <c r="B114" s="3"/>
      <c r="C114" s="3"/>
      <c r="D114" s="3"/>
      <c r="E114" s="3"/>
      <c r="F114" s="3"/>
      <c r="G114" s="16" t="str">
        <f>IF(σs&lt;σsa,"＜","＞")</f>
        <v>＜</v>
      </c>
      <c r="H114" s="15">
        <f>σsa</f>
        <v>140</v>
      </c>
      <c r="I114" s="72" t="s">
        <v>102</v>
      </c>
      <c r="J114" s="31" t="str">
        <f>IF(H113&lt;σsa,"ＯＫ！","ＮＯ！")</f>
        <v>ＯＫ！</v>
      </c>
    </row>
    <row r="115" spans="2:10" x14ac:dyDescent="0.15">
      <c r="B115" s="3"/>
      <c r="C115" s="3"/>
      <c r="D115" s="3"/>
      <c r="E115" s="3"/>
      <c r="F115" s="3"/>
      <c r="G115" s="3"/>
      <c r="H115" s="3"/>
      <c r="I115" s="3"/>
    </row>
    <row r="116" spans="2:10" x14ac:dyDescent="0.15">
      <c r="B116" s="3"/>
      <c r="C116" s="3" t="s">
        <v>81</v>
      </c>
      <c r="D116" s="3"/>
      <c r="E116" s="3"/>
      <c r="F116" s="3"/>
      <c r="G116" s="3"/>
      <c r="H116" s="3"/>
      <c r="I116" s="3"/>
    </row>
    <row r="117" spans="2:10" x14ac:dyDescent="0.15">
      <c r="B117" s="3"/>
      <c r="C117" s="3"/>
      <c r="D117" s="3"/>
      <c r="E117" s="3"/>
      <c r="F117" s="3"/>
      <c r="G117" s="3"/>
      <c r="H117" s="3"/>
      <c r="I117" s="3"/>
    </row>
    <row r="118" spans="2:10" ht="15.75" x14ac:dyDescent="0.15">
      <c r="C118" s="3" t="s">
        <v>106</v>
      </c>
      <c r="D118" s="3"/>
      <c r="E118" s="3"/>
      <c r="F118" s="3"/>
      <c r="G118" s="3"/>
      <c r="H118" s="3"/>
      <c r="I118" s="3"/>
    </row>
    <row r="119" spans="2:10" x14ac:dyDescent="0.15">
      <c r="C119" s="3" t="str">
        <f>"　＝ 2 × "&amp;FIXED(_M1,3)&amp;" × 1000 ／ （ "&amp;FIXED(K,3)&amp;" × "&amp;FIXED(J,3)&amp;" × 100 × "&amp;FIXED(SD,0)&amp;" 　） ＝"</f>
        <v>　＝ 2 × 28.425 × 1000 ／ （ 0.455 × 0.848 × 100 × 15 　） ＝</v>
      </c>
      <c r="D119" s="3"/>
      <c r="E119" s="3"/>
      <c r="F119" s="3"/>
      <c r="G119" s="3"/>
      <c r="H119" s="3"/>
      <c r="I119" s="3"/>
      <c r="J119" s="62">
        <f>ROUND(2*_M1*1000/(K*J*100*SD^2),1)</f>
        <v>6.5</v>
      </c>
    </row>
    <row r="120" spans="2:10" ht="15.75" x14ac:dyDescent="0.15">
      <c r="B120" s="3"/>
      <c r="C120" s="3"/>
      <c r="D120" s="3"/>
      <c r="E120" s="3"/>
      <c r="F120" s="3"/>
      <c r="G120" s="16" t="str">
        <f>IF(σc&lt;σca,"＜","＞")</f>
        <v>＜</v>
      </c>
      <c r="H120" s="15">
        <f>σca</f>
        <v>8</v>
      </c>
      <c r="I120" s="72" t="s">
        <v>102</v>
      </c>
      <c r="J120" s="31" t="str">
        <f>IF(J119&lt;σca,"ＯＫ！","ＮＯ！")</f>
        <v>ＯＫ！</v>
      </c>
    </row>
    <row r="121" spans="2:10" x14ac:dyDescent="0.15">
      <c r="B121" s="3"/>
      <c r="C121" s="3"/>
      <c r="D121" s="3"/>
      <c r="E121" s="3"/>
      <c r="F121" s="3"/>
      <c r="G121" s="3"/>
      <c r="H121" s="3"/>
      <c r="I121" s="3"/>
    </row>
    <row r="122" spans="2:10" x14ac:dyDescent="0.15">
      <c r="B122" s="3" t="s">
        <v>42</v>
      </c>
      <c r="C122" s="3" t="s">
        <v>82</v>
      </c>
      <c r="D122" s="3"/>
      <c r="E122" s="3"/>
      <c r="F122" s="3"/>
      <c r="G122" s="3"/>
      <c r="H122" s="3"/>
      <c r="I122" s="3"/>
    </row>
    <row r="123" spans="2:10" x14ac:dyDescent="0.15">
      <c r="B123" s="3"/>
      <c r="C123" s="3"/>
      <c r="D123" s="3"/>
      <c r="E123" s="3"/>
      <c r="F123" s="3"/>
      <c r="G123" s="3"/>
      <c r="H123" s="3"/>
      <c r="I123" s="3"/>
    </row>
    <row r="124" spans="2:10" x14ac:dyDescent="0.15">
      <c r="C124" s="3" t="s">
        <v>83</v>
      </c>
      <c r="D124" s="3"/>
      <c r="E124" s="3"/>
      <c r="F124" s="3"/>
      <c r="G124" s="3"/>
      <c r="H124" s="3"/>
      <c r="I124" s="3"/>
    </row>
    <row r="125" spans="2:10" x14ac:dyDescent="0.15">
      <c r="C125" s="3" t="str">
        <f>"　＝ "&amp;FIXED(FS,2)&amp;" ／ （ 100 × "&amp;FIXED(SD,1)&amp;"） ＝"</f>
        <v>　＝ 15.89 ／ （ 100 × 15.0） ＝</v>
      </c>
      <c r="D125" s="3"/>
      <c r="E125" s="3"/>
      <c r="G125" s="30">
        <f>ROUND(FS/(100*SD),4)</f>
        <v>1.06E-2</v>
      </c>
      <c r="H125" s="3"/>
      <c r="I125" s="3"/>
    </row>
    <row r="126" spans="2:10" x14ac:dyDescent="0.15">
      <c r="B126" s="3"/>
      <c r="C126" s="16" t="s">
        <v>77</v>
      </c>
      <c r="D126" s="21">
        <f>ROUND(SQRT(2*15*G125+(15*G125)^2)-15*G125,3)</f>
        <v>0.42699999999999999</v>
      </c>
      <c r="E126" s="3"/>
      <c r="F126" s="3"/>
      <c r="G126" s="3"/>
      <c r="H126" s="3"/>
      <c r="I126" s="3"/>
    </row>
    <row r="127" spans="2:10" x14ac:dyDescent="0.15">
      <c r="B127" s="3"/>
      <c r="C127" s="16" t="s">
        <v>78</v>
      </c>
      <c r="D127" s="21">
        <f>ROUND(1-_k2/3,3)</f>
        <v>0.85799999999999998</v>
      </c>
      <c r="E127" s="3"/>
      <c r="F127" s="3"/>
      <c r="G127" s="3"/>
      <c r="H127" s="3"/>
      <c r="I127" s="3"/>
    </row>
    <row r="128" spans="2:10" x14ac:dyDescent="0.15">
      <c r="B128" s="3"/>
      <c r="C128" s="3"/>
      <c r="D128" s="3"/>
      <c r="E128" s="3"/>
      <c r="F128" s="3"/>
      <c r="G128" s="3"/>
      <c r="H128" s="3"/>
      <c r="I128" s="3"/>
    </row>
    <row r="129" spans="2:10" x14ac:dyDescent="0.15">
      <c r="B129" s="3"/>
      <c r="C129" s="3"/>
      <c r="D129" s="3"/>
      <c r="E129" s="3"/>
      <c r="F129" s="3"/>
      <c r="G129" s="3"/>
      <c r="H129" s="3"/>
      <c r="I129" s="3"/>
    </row>
    <row r="130" spans="2:10" x14ac:dyDescent="0.15">
      <c r="B130" s="3"/>
      <c r="C130" s="3" t="s">
        <v>84</v>
      </c>
      <c r="D130" s="3"/>
      <c r="E130" s="3"/>
      <c r="F130" s="3"/>
      <c r="G130" s="3"/>
      <c r="H130" s="3"/>
      <c r="I130" s="3"/>
    </row>
    <row r="131" spans="2:10" x14ac:dyDescent="0.15">
      <c r="C131" s="3" t="s">
        <v>85</v>
      </c>
      <c r="D131" s="3"/>
      <c r="E131" s="3"/>
      <c r="F131" s="3"/>
      <c r="G131" s="3"/>
      <c r="H131" s="3"/>
      <c r="I131" s="3"/>
    </row>
    <row r="132" spans="2:10" x14ac:dyDescent="0.15">
      <c r="C132" s="3" t="str">
        <f>"　＝ "&amp;FIXED(_M2,3)&amp;" × 1000 ／ （ "&amp;FIXED(FS,2)&amp;" × "&amp;FIXED(_j2,3)&amp;" × "&amp;FIXED(SD,1)&amp;" ） ＝"</f>
        <v>　＝ 19.200 × 1000 ／ （ 15.89 × 0.858 × 15.0 ） ＝</v>
      </c>
      <c r="D132" s="3"/>
      <c r="E132" s="3"/>
      <c r="F132" s="3"/>
      <c r="G132" s="3"/>
      <c r="I132" s="64">
        <f>ROUND(_M2*1000/(FS*_j2*SD),1)</f>
        <v>93.9</v>
      </c>
    </row>
    <row r="133" spans="2:10" ht="15.75" x14ac:dyDescent="0.15">
      <c r="B133" s="3"/>
      <c r="C133" s="3"/>
      <c r="D133" s="3"/>
      <c r="E133" s="3"/>
      <c r="F133" s="3"/>
      <c r="G133" s="16" t="str">
        <f>IF(σs2&lt;σsa,"＜","＞")</f>
        <v>＜</v>
      </c>
      <c r="H133" s="15">
        <f>σsa</f>
        <v>140</v>
      </c>
      <c r="I133" s="72" t="s">
        <v>102</v>
      </c>
      <c r="J133" s="31" t="str">
        <f>IF(I132&lt;σsa,"ＯＫ！","ＮＯ！")</f>
        <v>ＯＫ！</v>
      </c>
    </row>
    <row r="134" spans="2:10" x14ac:dyDescent="0.15">
      <c r="B134" s="3"/>
      <c r="C134" s="3"/>
      <c r="D134" s="3"/>
      <c r="E134" s="3"/>
      <c r="F134" s="3"/>
      <c r="G134" s="3"/>
      <c r="H134" s="3"/>
      <c r="I134" s="3"/>
    </row>
    <row r="135" spans="2:10" x14ac:dyDescent="0.15">
      <c r="B135" s="3"/>
      <c r="C135" s="3" t="s">
        <v>81</v>
      </c>
      <c r="D135" s="3"/>
      <c r="E135" s="3"/>
      <c r="F135" s="3"/>
      <c r="G135" s="3"/>
      <c r="H135" s="3"/>
      <c r="I135" s="3"/>
    </row>
    <row r="136" spans="2:10" x14ac:dyDescent="0.15">
      <c r="B136" s="3"/>
      <c r="C136" s="3"/>
      <c r="D136" s="3"/>
      <c r="E136" s="3"/>
      <c r="F136" s="3"/>
      <c r="G136" s="3"/>
      <c r="H136" s="3"/>
      <c r="I136" s="3"/>
    </row>
    <row r="137" spans="2:10" ht="15.75" x14ac:dyDescent="0.15">
      <c r="C137" s="3" t="s">
        <v>107</v>
      </c>
      <c r="D137" s="3"/>
      <c r="E137" s="3"/>
      <c r="F137" s="3"/>
      <c r="G137" s="3"/>
      <c r="H137" s="3"/>
      <c r="I137" s="3"/>
    </row>
    <row r="138" spans="2:10" x14ac:dyDescent="0.15">
      <c r="C138" s="3" t="str">
        <f>"　＝ 2 × "&amp;FIXED(_M2,3)&amp;" × 1000 ／ （ "&amp;FIXED(_k2,3)&amp;" × "&amp;FIXED(_j2,3)&amp;" × 100 × "&amp;FIXED(SD,1)&amp;" 　） ＝"</f>
        <v>　＝ 2 × 19.200 × 1000 ／ （ 0.427 × 0.858 × 100 × 15.0 　） ＝</v>
      </c>
      <c r="D138" s="3"/>
      <c r="E138" s="3"/>
      <c r="F138" s="3"/>
      <c r="G138" s="3"/>
      <c r="H138" s="3"/>
      <c r="I138" s="3"/>
      <c r="J138" s="65">
        <f>ROUND(2*_M2*1000/(_k2*_j2*100*SD^2),1)</f>
        <v>4.7</v>
      </c>
    </row>
    <row r="139" spans="2:10" ht="15.75" x14ac:dyDescent="0.15">
      <c r="B139" s="3"/>
      <c r="C139" s="3"/>
      <c r="D139" s="3"/>
      <c r="E139" s="3"/>
      <c r="F139" s="3"/>
      <c r="G139" s="16" t="str">
        <f>IF(σc2&lt;σca,"＜","＞")</f>
        <v>＜</v>
      </c>
      <c r="H139" s="15">
        <f>σca</f>
        <v>8</v>
      </c>
      <c r="I139" s="72" t="s">
        <v>102</v>
      </c>
      <c r="J139" s="31" t="str">
        <f>IF(J138&lt;σca,"ＯＫ！","ＮＯ！")</f>
        <v>ＯＫ！</v>
      </c>
    </row>
    <row r="140" spans="2:10" x14ac:dyDescent="0.15">
      <c r="B140" s="3"/>
      <c r="C140" s="3"/>
      <c r="D140" s="3"/>
      <c r="E140" s="3"/>
      <c r="F140" s="3"/>
      <c r="G140" s="3"/>
      <c r="H140" s="3"/>
      <c r="I140" s="3"/>
    </row>
    <row r="141" spans="2:10" x14ac:dyDescent="0.15">
      <c r="B141" s="3"/>
      <c r="C141" s="3"/>
      <c r="D141" s="3"/>
      <c r="E141" s="3"/>
      <c r="F141" s="3"/>
      <c r="G141" s="3"/>
      <c r="H141" s="3"/>
      <c r="I141" s="3"/>
    </row>
    <row r="142" spans="2:10" ht="14.25" thickBot="1" x14ac:dyDescent="0.2">
      <c r="B142" s="3"/>
      <c r="C142" s="32" t="s">
        <v>86</v>
      </c>
      <c r="D142" s="33"/>
      <c r="E142" s="32" t="s">
        <v>87</v>
      </c>
      <c r="F142" s="34"/>
      <c r="G142" s="35"/>
      <c r="H142" s="36"/>
      <c r="I142" s="3"/>
    </row>
    <row r="143" spans="2:10" ht="14.25" thickBot="1" x14ac:dyDescent="0.2">
      <c r="B143" s="37"/>
      <c r="C143" s="38" t="s">
        <v>88</v>
      </c>
      <c r="D143" s="38">
        <v>10</v>
      </c>
      <c r="E143" s="38">
        <v>13</v>
      </c>
      <c r="F143" s="38">
        <v>16</v>
      </c>
      <c r="G143" s="38">
        <v>19</v>
      </c>
      <c r="H143" s="38">
        <v>22</v>
      </c>
      <c r="I143" s="39"/>
    </row>
    <row r="144" spans="2:10" ht="14.25" thickBot="1" x14ac:dyDescent="0.2">
      <c r="B144" s="37"/>
      <c r="C144" s="38" t="s">
        <v>89</v>
      </c>
      <c r="D144" s="40">
        <v>0.71330000000000005</v>
      </c>
      <c r="E144" s="41">
        <v>1.2669999999999999</v>
      </c>
      <c r="F144" s="41">
        <v>1.986</v>
      </c>
      <c r="G144" s="41">
        <v>2.8650000000000002</v>
      </c>
      <c r="H144" s="41">
        <v>3.871</v>
      </c>
      <c r="I144" s="42"/>
      <c r="J144" s="43"/>
    </row>
    <row r="145" spans="2:9" ht="14.25" thickBot="1" x14ac:dyDescent="0.2">
      <c r="B145" s="37"/>
      <c r="C145" s="44"/>
      <c r="D145" s="45"/>
      <c r="E145" s="45"/>
      <c r="F145" s="45"/>
      <c r="G145" s="45"/>
      <c r="H145" s="45"/>
      <c r="I145" s="39"/>
    </row>
    <row r="146" spans="2:9" ht="14.25" thickBot="1" x14ac:dyDescent="0.2">
      <c r="B146" s="37"/>
      <c r="C146" s="38" t="s">
        <v>88</v>
      </c>
      <c r="D146" s="38">
        <v>25</v>
      </c>
      <c r="E146" s="38">
        <v>29</v>
      </c>
      <c r="F146" s="38">
        <v>32</v>
      </c>
      <c r="G146" s="38">
        <v>35</v>
      </c>
      <c r="H146" s="38">
        <v>38</v>
      </c>
      <c r="I146" s="39"/>
    </row>
    <row r="147" spans="2:9" ht="14.25" thickBot="1" x14ac:dyDescent="0.2">
      <c r="B147" s="37"/>
      <c r="C147" s="38" t="s">
        <v>89</v>
      </c>
      <c r="D147" s="41">
        <v>5.0670000000000002</v>
      </c>
      <c r="E147" s="41">
        <v>6.4240000000000004</v>
      </c>
      <c r="F147" s="41">
        <v>7.9420000000000002</v>
      </c>
      <c r="G147" s="41">
        <v>9.5660000000000007</v>
      </c>
      <c r="H147" s="46">
        <v>11.4</v>
      </c>
      <c r="I147" s="39"/>
    </row>
    <row r="148" spans="2:9" x14ac:dyDescent="0.15">
      <c r="C148" s="47"/>
      <c r="D148" s="47"/>
      <c r="E148" s="47"/>
      <c r="F148" s="47"/>
      <c r="G148" s="47"/>
      <c r="H148" s="47"/>
    </row>
  </sheetData>
  <sheetProtection algorithmName="SHA-512" hashValue="q4bQRerq7JDs/oeRdtCz/eONUTV4h2dRXxg8WTrVo+qGIskC/tUUV0PGRAUYyODj7raEXJno+o3QLiX7/oq24w==" saltValue="lpbWmbf9PehHe3m5KMSLtw==" spinCount="100000" sheet="1" objects="1" scenarios="1"/>
  <mergeCells count="2">
    <mergeCell ref="G83:H83"/>
    <mergeCell ref="G95:H95"/>
  </mergeCells>
  <phoneticPr fontId="12"/>
  <printOptions gridLinesSet="0"/>
  <pageMargins left="0.54" right="0.21" top="0.5" bottom="0.5" header="0.5" footer="0.5"/>
  <pageSetup paperSize="9" orientation="portrait" horizontalDpi="4294967292" verticalDpi="0" r:id="rId1"/>
  <headerFooter alignWithMargins="0"/>
  <rowBreaks count="2" manualBreakCount="2">
    <brk id="56" min="1" max="9" man="1"/>
    <brk id="112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20"/>
  <sheetViews>
    <sheetView showGridLines="0" defaultGridColor="0" view="pageBreakPreview" colorId="8" zoomScaleNormal="100" zoomScaleSheetLayoutView="100" workbookViewId="0">
      <selection activeCell="J8" sqref="J8"/>
    </sheetView>
  </sheetViews>
  <sheetFormatPr defaultRowHeight="13.5" x14ac:dyDescent="0.15"/>
  <cols>
    <col min="1" max="1" width="4.625" style="72" customWidth="1"/>
    <col min="2" max="10" width="10.5" style="72" customWidth="1"/>
    <col min="11" max="16384" width="9" style="72"/>
  </cols>
  <sheetData>
    <row r="1" spans="2:12" x14ac:dyDescent="0.15">
      <c r="B1" s="3" t="s">
        <v>115</v>
      </c>
      <c r="C1" s="3"/>
      <c r="D1" s="3"/>
      <c r="E1" s="3"/>
    </row>
    <row r="3" spans="2:12" x14ac:dyDescent="0.15">
      <c r="B3" s="3" t="s">
        <v>1</v>
      </c>
      <c r="C3" s="3"/>
      <c r="D3" s="3"/>
      <c r="E3" s="3"/>
      <c r="F3" s="3"/>
      <c r="G3" s="3"/>
      <c r="H3" s="3"/>
    </row>
    <row r="4" spans="2:12" x14ac:dyDescent="0.15">
      <c r="B4" s="3"/>
      <c r="C4" s="3"/>
      <c r="D4" s="3"/>
      <c r="E4" s="3"/>
      <c r="F4" s="3"/>
      <c r="G4" s="3"/>
      <c r="H4" s="3"/>
    </row>
    <row r="5" spans="2:12" x14ac:dyDescent="0.15">
      <c r="B5"/>
      <c r="C5" s="24" t="s">
        <v>2</v>
      </c>
      <c r="D5" s="7"/>
      <c r="E5" s="87" t="s">
        <v>3</v>
      </c>
      <c r="F5" s="80"/>
    </row>
    <row r="6" spans="2:12" x14ac:dyDescent="0.15">
      <c r="B6"/>
      <c r="C6" s="24" t="s">
        <v>123</v>
      </c>
      <c r="D6" s="3"/>
      <c r="F6" s="3" t="s">
        <v>5</v>
      </c>
      <c r="G6" s="84">
        <f>支間</f>
        <v>2</v>
      </c>
      <c r="H6" s="3" t="s">
        <v>127</v>
      </c>
      <c r="I6" s="3"/>
      <c r="J6" s="3"/>
    </row>
    <row r="7" spans="2:12" x14ac:dyDescent="0.15">
      <c r="B7"/>
      <c r="C7" s="24" t="s">
        <v>124</v>
      </c>
      <c r="D7" s="3"/>
      <c r="E7" s="3" t="s">
        <v>8</v>
      </c>
      <c r="F7" s="3" t="s">
        <v>9</v>
      </c>
      <c r="G7" s="84">
        <f>幅員</f>
        <v>1</v>
      </c>
      <c r="H7" s="3" t="s">
        <v>127</v>
      </c>
      <c r="I7" s="3"/>
      <c r="J7" s="3"/>
    </row>
    <row r="8" spans="2:12" x14ac:dyDescent="0.15">
      <c r="B8"/>
      <c r="C8" s="24" t="s">
        <v>125</v>
      </c>
      <c r="D8" s="3"/>
      <c r="E8" s="3" t="s">
        <v>11</v>
      </c>
      <c r="F8" s="3" t="s">
        <v>12</v>
      </c>
      <c r="G8" s="85">
        <f>舗装厚</f>
        <v>5</v>
      </c>
      <c r="H8" s="24" t="str">
        <f>IF(舗装種別=1,"cm （アスファルト）","cm （コンクリート）")</f>
        <v>cm （アスファルト）</v>
      </c>
      <c r="J8" s="3"/>
    </row>
    <row r="9" spans="2:12" x14ac:dyDescent="0.15">
      <c r="B9"/>
      <c r="C9" s="24" t="s">
        <v>126</v>
      </c>
      <c r="D9" s="3"/>
      <c r="E9" s="72" t="s">
        <v>15</v>
      </c>
      <c r="F9" s="9"/>
    </row>
    <row r="10" spans="2:12" ht="15.75" x14ac:dyDescent="0.15">
      <c r="B10"/>
      <c r="C10" s="95" t="s">
        <v>122</v>
      </c>
      <c r="D10" s="70" t="s">
        <v>108</v>
      </c>
      <c r="E10" s="3" t="s">
        <v>17</v>
      </c>
      <c r="F10" s="86">
        <f>σca</f>
        <v>8</v>
      </c>
      <c r="G10" s="72" t="s">
        <v>109</v>
      </c>
      <c r="H10" s="66"/>
      <c r="I10" s="3"/>
    </row>
    <row r="11" spans="2:12" ht="15.75" x14ac:dyDescent="0.15">
      <c r="B11" s="3"/>
      <c r="C11" s="3"/>
      <c r="D11" s="71" t="s">
        <v>93</v>
      </c>
      <c r="E11" s="3" t="s">
        <v>18</v>
      </c>
      <c r="F11" s="86">
        <f>σsa</f>
        <v>140</v>
      </c>
      <c r="G11" s="72" t="s">
        <v>110</v>
      </c>
      <c r="H11" s="66"/>
      <c r="I11" s="3"/>
      <c r="K11" s="54"/>
      <c r="L11" s="54"/>
    </row>
    <row r="12" spans="2:12" x14ac:dyDescent="0.15">
      <c r="B12" s="3"/>
      <c r="C12" s="3"/>
      <c r="D12" s="71"/>
      <c r="E12" s="3"/>
      <c r="F12" s="86"/>
      <c r="H12" s="66"/>
      <c r="I12" s="3"/>
      <c r="K12" s="54"/>
      <c r="L12" s="54"/>
    </row>
    <row r="13" spans="2:12" x14ac:dyDescent="0.15">
      <c r="B13" s="3"/>
      <c r="C13" s="3"/>
      <c r="H13" s="96"/>
    </row>
    <row r="14" spans="2:12" x14ac:dyDescent="0.15">
      <c r="B14" s="3"/>
      <c r="C14" s="3"/>
      <c r="K14" s="99" t="str">
        <f>"W＝"&amp;FIXED(幅員,3)&amp;"m"</f>
        <v>W＝1.000m</v>
      </c>
    </row>
    <row r="15" spans="2:12" x14ac:dyDescent="0.15">
      <c r="B15" s="3"/>
      <c r="C15" s="3"/>
      <c r="K15" s="54"/>
    </row>
    <row r="16" spans="2:12" x14ac:dyDescent="0.15">
      <c r="B16" s="3"/>
      <c r="C16" s="3"/>
      <c r="G16" s="87"/>
      <c r="K16" s="54" t="str">
        <f>" t="&amp;FIXED(舗装厚,0)&amp;"cm"</f>
        <v xml:space="preserve"> t=5cm</v>
      </c>
    </row>
    <row r="17" spans="2:11" x14ac:dyDescent="0.15">
      <c r="B17" s="3"/>
      <c r="C17" s="3"/>
      <c r="G17" s="87"/>
      <c r="K17" s="54"/>
    </row>
    <row r="18" spans="2:11" x14ac:dyDescent="0.15">
      <c r="B18" s="3"/>
      <c r="C18" s="3"/>
      <c r="K18" s="54" t="str">
        <f>" h="&amp;FIXED(床版厚,0)&amp;"cm"</f>
        <v xml:space="preserve"> h=25cm</v>
      </c>
    </row>
    <row r="19" spans="2:11" x14ac:dyDescent="0.15">
      <c r="B19" s="3"/>
      <c r="C19" s="3"/>
      <c r="K19" s="54"/>
    </row>
    <row r="20" spans="2:11" x14ac:dyDescent="0.15">
      <c r="B20" s="3"/>
      <c r="C20" s="3"/>
      <c r="D20" s="96"/>
      <c r="K20" s="99" t="str">
        <f>"L＝"&amp;FIXED(支間,3)&amp;"m"</f>
        <v>L＝2.000m</v>
      </c>
    </row>
    <row r="21" spans="2:11" x14ac:dyDescent="0.15">
      <c r="B21" s="3"/>
      <c r="C21" s="3"/>
    </row>
    <row r="22" spans="2:11" x14ac:dyDescent="0.15">
      <c r="B22" s="3"/>
      <c r="C22" s="3"/>
      <c r="D22" s="3"/>
    </row>
    <row r="23" spans="2:11" x14ac:dyDescent="0.15">
      <c r="B23" s="3" t="s">
        <v>21</v>
      </c>
      <c r="C23" s="3"/>
      <c r="D23" s="3"/>
      <c r="E23" s="3" t="s">
        <v>22</v>
      </c>
      <c r="F23" s="3"/>
      <c r="G23" s="3"/>
      <c r="H23" s="3"/>
      <c r="I23" s="3"/>
      <c r="J23" s="3"/>
    </row>
    <row r="24" spans="2:11" x14ac:dyDescent="0.15">
      <c r="B24" s="3"/>
      <c r="C24" s="3"/>
      <c r="D24" s="3"/>
      <c r="E24" s="3"/>
      <c r="F24" s="3"/>
      <c r="G24" s="3"/>
      <c r="H24" s="3"/>
      <c r="I24" s="3"/>
      <c r="J24" s="3"/>
    </row>
    <row r="25" spans="2:11" x14ac:dyDescent="0.15">
      <c r="B25" s="3" t="s">
        <v>23</v>
      </c>
      <c r="C25" s="3" t="s">
        <v>24</v>
      </c>
      <c r="D25" s="3"/>
      <c r="E25" s="3"/>
      <c r="F25" s="3"/>
      <c r="G25" s="3"/>
      <c r="H25" s="3"/>
      <c r="I25" s="3"/>
      <c r="J25" s="3"/>
    </row>
    <row r="26" spans="2:11" x14ac:dyDescent="0.15">
      <c r="B26" s="3"/>
      <c r="C26" s="3"/>
      <c r="D26" s="3"/>
      <c r="E26" s="3"/>
      <c r="F26" s="3"/>
      <c r="G26" s="3"/>
      <c r="H26" s="3"/>
      <c r="I26" s="3"/>
      <c r="J26" s="3"/>
    </row>
    <row r="27" spans="2:11" x14ac:dyDescent="0.15">
      <c r="B27" s="3"/>
      <c r="C27" s="3" t="s">
        <v>25</v>
      </c>
      <c r="D27" s="3"/>
      <c r="E27" s="3"/>
      <c r="F27" s="3"/>
      <c r="G27" s="3"/>
      <c r="H27" s="3"/>
      <c r="I27" s="3"/>
      <c r="J27" s="3"/>
    </row>
    <row r="28" spans="2:11" x14ac:dyDescent="0.15">
      <c r="B28" s="3"/>
      <c r="C28" s="3" t="s">
        <v>111</v>
      </c>
      <c r="D28" s="3"/>
      <c r="E28" s="3"/>
      <c r="F28" s="3"/>
      <c r="G28" s="3"/>
      <c r="H28" s="3"/>
      <c r="I28" s="3"/>
      <c r="J28" s="3"/>
    </row>
    <row r="29" spans="2:11" x14ac:dyDescent="0.15">
      <c r="B29" s="3"/>
      <c r="C29" s="24" t="s">
        <v>118</v>
      </c>
      <c r="D29" s="3"/>
      <c r="E29" s="3"/>
      <c r="F29" s="3"/>
      <c r="G29" s="3"/>
      <c r="H29" s="3"/>
      <c r="I29" s="3"/>
      <c r="J29" s="3"/>
    </row>
    <row r="30" spans="2:11" x14ac:dyDescent="0.15">
      <c r="B30" s="3"/>
      <c r="C30" s="24" t="s">
        <v>119</v>
      </c>
      <c r="D30" s="3"/>
      <c r="E30" s="3"/>
      <c r="F30" s="3"/>
      <c r="G30" s="3"/>
      <c r="H30" s="11"/>
      <c r="I30" s="3"/>
      <c r="J30" s="3"/>
    </row>
    <row r="31" spans="2:11" x14ac:dyDescent="0.15">
      <c r="B31" s="3"/>
      <c r="C31" s="16"/>
      <c r="D31" s="3"/>
      <c r="E31" s="3"/>
      <c r="F31" s="3"/>
      <c r="G31" s="3"/>
      <c r="H31" s="11"/>
      <c r="I31" s="3"/>
      <c r="J31" s="3"/>
    </row>
    <row r="32" spans="2:11" x14ac:dyDescent="0.15">
      <c r="B32" s="3"/>
      <c r="C32" s="98" t="str">
        <f>"  Ｍli ＝ 0.80 × （ 0.12 × "&amp;FIXED(支間,3)&amp;" ＋ 0.07  ） × 100 ＝ "&amp;FIXED(0.8*(0.12*支間+0.07)*100,3)&amp;"KN・m"</f>
        <v xml:space="preserve">  Ｍli ＝ 0.80 × （ 0.12 × 2.000 ＋ 0.07  ） × 100 ＝ 24.800KN・m</v>
      </c>
      <c r="D32" s="3"/>
      <c r="E32" s="3"/>
      <c r="F32" s="3"/>
      <c r="G32" s="3"/>
      <c r="H32" s="11"/>
      <c r="I32" s="57"/>
      <c r="J32" s="3"/>
    </row>
    <row r="33" spans="2:13" x14ac:dyDescent="0.15">
      <c r="B33" s="3"/>
      <c r="C33" s="3"/>
      <c r="D33" s="12"/>
      <c r="E33" s="1"/>
      <c r="F33" s="14"/>
      <c r="G33" s="3"/>
      <c r="I33" s="93"/>
      <c r="J33" s="3"/>
      <c r="L33" s="3"/>
    </row>
    <row r="34" spans="2:13" x14ac:dyDescent="0.15">
      <c r="B34" s="3"/>
      <c r="C34" s="3"/>
      <c r="D34" s="3"/>
      <c r="E34" s="3"/>
      <c r="F34" s="3"/>
      <c r="G34" s="3"/>
    </row>
    <row r="35" spans="2:13" x14ac:dyDescent="0.15">
      <c r="B35" s="3"/>
      <c r="C35" s="3" t="s">
        <v>29</v>
      </c>
      <c r="D35" s="3"/>
      <c r="E35" s="3"/>
      <c r="F35" s="3"/>
      <c r="G35" s="3"/>
      <c r="H35" s="3"/>
      <c r="I35" s="3"/>
      <c r="J35" s="3"/>
      <c r="L35" s="55"/>
      <c r="M35" s="3"/>
    </row>
    <row r="36" spans="2:13" x14ac:dyDescent="0.15">
      <c r="B36" s="3"/>
      <c r="C36" s="3"/>
      <c r="D36" s="3"/>
      <c r="E36" s="3"/>
      <c r="F36" s="3"/>
      <c r="G36" s="3"/>
      <c r="H36" s="3"/>
      <c r="I36" s="3"/>
      <c r="J36" s="3"/>
    </row>
    <row r="37" spans="2:13" x14ac:dyDescent="0.15">
      <c r="C37" s="24" t="str">
        <f>"　スラブ厚　ｈ＝"&amp;FIXED(床版厚,0)&amp;"cm"</f>
        <v>　スラブ厚　ｈ＝25cm</v>
      </c>
      <c r="E37" s="89"/>
      <c r="F37" s="3"/>
      <c r="G37" s="3"/>
      <c r="H37" s="3"/>
      <c r="I37" s="3"/>
      <c r="J37" s="3"/>
    </row>
    <row r="38" spans="2:13" x14ac:dyDescent="0.15">
      <c r="C38" s="3" t="s">
        <v>31</v>
      </c>
      <c r="D38" s="3"/>
      <c r="E38" s="3"/>
      <c r="F38" s="3"/>
      <c r="G38" s="3"/>
      <c r="H38" s="3"/>
      <c r="I38" s="3"/>
      <c r="J38" s="3"/>
    </row>
    <row r="39" spans="2:13" x14ac:dyDescent="0.15">
      <c r="C39" s="24" t="str">
        <f>IF(舗装種別=1,"　舗      装　(ｱｽﾌｧﾙﾄ)","　舗      装　(ｺﾝｸﾘｰﾄ)")</f>
        <v>　舗      装　(ｱｽﾌｧﾙﾄ)</v>
      </c>
      <c r="D39" s="3"/>
      <c r="E39" s="16"/>
      <c r="G39" s="16" t="str">
        <f>"Ｗ1 ＝ "&amp;FIXED(IF(舗装種別=1,ROUND(舗装厚/100*22.5,3),ROUND(舗装厚/100*23,3)),3)&amp;" KN／㎡"</f>
        <v>Ｗ1 ＝ 1.125 KN／㎡</v>
      </c>
      <c r="H39" s="3"/>
      <c r="I39" s="92" t="str">
        <f>IF(舗装種別=1,"(22.5 KN/m3） ","(23 KN/m3） ")</f>
        <v xml:space="preserve">(22.5 KN/m3） </v>
      </c>
      <c r="J39" s="17"/>
    </row>
    <row r="40" spans="2:13" x14ac:dyDescent="0.15">
      <c r="C40" s="3"/>
      <c r="D40" s="3"/>
      <c r="E40" s="3"/>
      <c r="F40" s="16"/>
      <c r="G40" s="91"/>
      <c r="H40" s="3"/>
      <c r="I40" s="92"/>
      <c r="J40" s="17"/>
    </row>
    <row r="41" spans="2:13" ht="14.25" x14ac:dyDescent="0.15">
      <c r="C41" s="3" t="s">
        <v>34</v>
      </c>
      <c r="D41" s="3"/>
      <c r="E41" s="3"/>
      <c r="G41" s="16" t="str">
        <f>"Ｗ2 ＝ "&amp;FIXED(床版厚/100*24.5,3)&amp;" KN／㎡"</f>
        <v>Ｗ2 ＝ 6.125 KN／㎡</v>
      </c>
      <c r="H41" s="3"/>
      <c r="I41" s="92" t="s">
        <v>121</v>
      </c>
      <c r="J41" s="17"/>
    </row>
    <row r="42" spans="2:13" x14ac:dyDescent="0.15">
      <c r="C42" s="3"/>
      <c r="D42" s="3"/>
      <c r="E42" s="3"/>
      <c r="F42" s="16"/>
      <c r="G42" s="90"/>
      <c r="H42" s="3"/>
      <c r="I42" s="92"/>
      <c r="J42" s="17"/>
    </row>
    <row r="43" spans="2:13" x14ac:dyDescent="0.15">
      <c r="C43" s="3"/>
      <c r="D43" s="3"/>
      <c r="E43" s="24" t="s">
        <v>120</v>
      </c>
      <c r="G43" s="16" t="str">
        <f>"Ｗ  ＝ "&amp;FIXED(WW,3)&amp;" KN／㎡"</f>
        <v>Ｗ  ＝ 7.250 KN／㎡</v>
      </c>
      <c r="H43" s="3"/>
      <c r="I43" s="3"/>
      <c r="J43" s="3"/>
    </row>
    <row r="44" spans="2:13" x14ac:dyDescent="0.15">
      <c r="C44" s="3"/>
      <c r="D44" s="3"/>
      <c r="E44" s="3"/>
      <c r="F44" s="16"/>
      <c r="G44" s="90"/>
      <c r="H44" s="3"/>
      <c r="I44" s="3"/>
      <c r="J44" s="3"/>
    </row>
    <row r="45" spans="2:13" x14ac:dyDescent="0.15">
      <c r="C45" s="3"/>
      <c r="D45" s="3"/>
      <c r="F45" s="3"/>
      <c r="G45" s="3"/>
      <c r="H45" s="3"/>
      <c r="I45" s="3"/>
      <c r="J45" s="3"/>
    </row>
    <row r="46" spans="2:13" x14ac:dyDescent="0.15">
      <c r="B46" s="3"/>
      <c r="C46" s="3" t="s">
        <v>38</v>
      </c>
      <c r="D46" s="3"/>
      <c r="E46" s="3"/>
      <c r="F46" s="3"/>
      <c r="G46" s="3"/>
      <c r="H46" s="3"/>
      <c r="I46" s="3"/>
    </row>
    <row r="47" spans="2:13" x14ac:dyDescent="0.15">
      <c r="B47" s="3"/>
      <c r="C47" s="3"/>
      <c r="D47" s="3"/>
      <c r="E47" s="3"/>
      <c r="F47" s="3"/>
      <c r="G47" s="3"/>
      <c r="H47" s="3"/>
      <c r="I47" s="3"/>
      <c r="J47" s="3"/>
    </row>
    <row r="48" spans="2:13" ht="15.75" x14ac:dyDescent="0.15">
      <c r="B48" s="3"/>
      <c r="C48" s="3" t="s">
        <v>39</v>
      </c>
      <c r="D48" s="3"/>
      <c r="E48" s="3"/>
      <c r="F48" s="3"/>
      <c r="G48" s="3"/>
      <c r="H48" s="3"/>
      <c r="I48" s="3"/>
      <c r="J48" s="3"/>
    </row>
    <row r="49" spans="2:10" x14ac:dyDescent="0.15">
      <c r="B49" s="3"/>
      <c r="C49" s="3" t="str">
        <f>"　＝ 1 ／ 8 × "&amp;FIXED(WW,3)&amp;" × "&amp;FIXED(支間,3)&amp;" 　＝ "&amp;FIXED(1/8*WW*支間^2,3)&amp;" KN・m"</f>
        <v>　＝ 1 ／ 8 × 7.250 × 2.000 　＝ 3.625 KN・m</v>
      </c>
      <c r="D49" s="3"/>
      <c r="E49" s="3"/>
      <c r="F49" s="3"/>
      <c r="G49" s="57"/>
      <c r="J49" s="3"/>
    </row>
    <row r="50" spans="2:10" x14ac:dyDescent="0.15">
      <c r="B50" s="3"/>
      <c r="C50" s="18"/>
      <c r="D50" s="18"/>
      <c r="E50" s="56"/>
      <c r="F50" s="16"/>
      <c r="G50" s="94"/>
      <c r="H50" s="3"/>
    </row>
    <row r="51" spans="2:10" x14ac:dyDescent="0.15">
      <c r="B51" s="3"/>
      <c r="C51" s="3"/>
      <c r="D51" s="3"/>
      <c r="E51" s="3"/>
      <c r="F51" s="3"/>
      <c r="J51" s="3"/>
    </row>
    <row r="52" spans="2:10" ht="12.75" customHeight="1" x14ac:dyDescent="0.15">
      <c r="B52" s="3"/>
      <c r="C52" s="3" t="s">
        <v>40</v>
      </c>
      <c r="D52" s="3"/>
      <c r="E52" s="3"/>
      <c r="F52" s="3"/>
      <c r="G52" s="3"/>
      <c r="H52" s="3"/>
      <c r="I52" s="3"/>
      <c r="J52" s="3"/>
    </row>
    <row r="53" spans="2:10" x14ac:dyDescent="0.15">
      <c r="B53" s="3"/>
      <c r="C53" s="3"/>
      <c r="D53" s="3"/>
      <c r="E53" s="3"/>
      <c r="F53" s="3"/>
      <c r="G53" s="3"/>
      <c r="H53" s="3"/>
      <c r="I53" s="3"/>
      <c r="J53" s="3"/>
    </row>
    <row r="54" spans="2:10" x14ac:dyDescent="0.15">
      <c r="B54" s="3"/>
      <c r="C54" s="3" t="s">
        <v>41</v>
      </c>
      <c r="D54" s="3"/>
      <c r="E54" s="3"/>
      <c r="F54" s="3"/>
      <c r="G54" s="3"/>
      <c r="H54" s="3"/>
      <c r="I54" s="3"/>
      <c r="J54" s="3"/>
    </row>
    <row r="55" spans="2:10" x14ac:dyDescent="0.15">
      <c r="B55" s="3"/>
      <c r="C55" s="3" t="str">
        <f>"  ＝ "&amp;FIXED(MLI,3)&amp;" ＋ "&amp;FIXED(MD,3)&amp;" ＝ "&amp;FIXED(MLI+MD,3)&amp;" KN・m"</f>
        <v xml:space="preserve">  ＝ 24.800 ＋ 3.625 ＝ 28.425 KN・m</v>
      </c>
      <c r="D55" s="3"/>
      <c r="E55" s="3"/>
      <c r="F55" s="1"/>
      <c r="G55" s="58"/>
      <c r="H55" s="3"/>
      <c r="J55" s="3"/>
    </row>
    <row r="56" spans="2:10" x14ac:dyDescent="0.15">
      <c r="B56" s="3"/>
      <c r="C56" s="3"/>
      <c r="D56" s="59"/>
      <c r="E56" s="1"/>
      <c r="F56" s="16"/>
      <c r="G56" s="93"/>
      <c r="H56" s="3"/>
    </row>
    <row r="57" spans="2:10" x14ac:dyDescent="0.15">
      <c r="B57" s="3"/>
      <c r="C57" s="3"/>
      <c r="D57" s="3"/>
      <c r="E57" s="3"/>
      <c r="F57" s="3"/>
      <c r="G57" s="3"/>
    </row>
    <row r="58" spans="2:10" x14ac:dyDescent="0.15">
      <c r="B58" s="3" t="s">
        <v>42</v>
      </c>
      <c r="C58" s="3" t="s">
        <v>43</v>
      </c>
      <c r="D58" s="3"/>
      <c r="E58" s="3"/>
      <c r="F58" s="3"/>
      <c r="G58" s="3"/>
      <c r="H58" s="3"/>
      <c r="I58" s="3"/>
      <c r="J58" s="3"/>
    </row>
    <row r="59" spans="2:10" x14ac:dyDescent="0.15">
      <c r="B59" s="3"/>
      <c r="C59" s="3"/>
      <c r="D59" s="3"/>
      <c r="E59" s="3"/>
      <c r="F59" s="3"/>
      <c r="G59" s="3"/>
      <c r="H59" s="3"/>
      <c r="I59" s="3"/>
    </row>
    <row r="60" spans="2:10" x14ac:dyDescent="0.15">
      <c r="B60" s="3"/>
      <c r="C60" s="3" t="s">
        <v>128</v>
      </c>
      <c r="D60" s="3"/>
      <c r="E60" s="3"/>
      <c r="F60" s="3"/>
      <c r="G60" s="3"/>
      <c r="H60" s="3"/>
      <c r="I60" s="3"/>
      <c r="J60" s="3"/>
    </row>
    <row r="61" spans="2:10" x14ac:dyDescent="0.15">
      <c r="B61" s="3"/>
      <c r="C61" s="3" t="str">
        <f>"　＝ 0.80 × （ 0.10 × "&amp;FIXED(支間,3)&amp;" ＋ 0.04 ） × 100 ＝ "&amp;FIXED(0.8*(0.1*支間+0.04)*100,3)&amp;" KN・m"</f>
        <v>　＝ 0.80 × （ 0.10 × 2.000 ＋ 0.04 ） × 100 ＝ 19.200 KN・m</v>
      </c>
      <c r="D61" s="3"/>
      <c r="E61" s="3"/>
      <c r="F61" s="3"/>
      <c r="G61" s="3"/>
      <c r="H61" s="58"/>
      <c r="I61" s="3"/>
      <c r="J61" s="3"/>
    </row>
    <row r="62" spans="2:10" x14ac:dyDescent="0.15">
      <c r="B62" s="3"/>
      <c r="C62" s="3"/>
      <c r="D62" s="19"/>
      <c r="E62" s="69"/>
      <c r="F62" s="68"/>
      <c r="G62" s="81"/>
      <c r="H62" s="97"/>
      <c r="I62" s="3"/>
    </row>
    <row r="63" spans="2:10" x14ac:dyDescent="0.15">
      <c r="H63" s="81"/>
      <c r="I63" s="53"/>
      <c r="J63" s="3"/>
    </row>
    <row r="64" spans="2:10" x14ac:dyDescent="0.15">
      <c r="B64" s="3" t="s">
        <v>129</v>
      </c>
      <c r="C64" s="3"/>
      <c r="D64" s="3"/>
      <c r="E64" s="3"/>
      <c r="F64" s="3"/>
      <c r="G64" s="3"/>
      <c r="H64" s="3"/>
      <c r="I64" s="3"/>
      <c r="J64" s="3"/>
    </row>
    <row r="65" spans="2:10" x14ac:dyDescent="0.15">
      <c r="B65" s="3"/>
      <c r="C65" s="3"/>
      <c r="D65" s="3"/>
      <c r="E65" s="3"/>
      <c r="F65" s="3"/>
      <c r="G65" s="3"/>
      <c r="H65" s="3"/>
      <c r="I65" s="3"/>
      <c r="J65" s="3"/>
    </row>
    <row r="66" spans="2:10" x14ac:dyDescent="0.15">
      <c r="B66" s="3" t="s">
        <v>23</v>
      </c>
      <c r="C66" s="3" t="s">
        <v>130</v>
      </c>
      <c r="D66" s="3"/>
      <c r="E66" s="3"/>
      <c r="F66" s="3"/>
      <c r="G66" s="3"/>
      <c r="H66" s="3"/>
      <c r="I66" s="3"/>
      <c r="J66" s="3"/>
    </row>
    <row r="67" spans="2:10" x14ac:dyDescent="0.15">
      <c r="B67" s="3"/>
      <c r="C67" s="3"/>
      <c r="D67" s="3"/>
      <c r="E67" s="20"/>
      <c r="F67" s="3"/>
      <c r="G67" s="3"/>
      <c r="H67" s="3"/>
      <c r="I67" s="3"/>
      <c r="J67" s="3"/>
    </row>
    <row r="68" spans="2:10" x14ac:dyDescent="0.15">
      <c r="B68" s="3"/>
      <c r="C68" s="72" t="str">
        <f>"全厚 "&amp;FIXED(H,1)&amp;"cm かぶり "&amp;FIXED(かぶり,1)&amp;"cm 有効厚 "&amp;FIXED(有効厚,1)&amp;"cm とする。"</f>
        <v>全厚 25.0cm かぶり 10.0cm 有効厚 15.0cm とする。</v>
      </c>
      <c r="D68" s="83"/>
      <c r="E68" s="1"/>
      <c r="F68" s="48"/>
      <c r="G68" s="1"/>
      <c r="H68" s="23"/>
      <c r="I68" s="24"/>
    </row>
    <row r="69" spans="2:10" x14ac:dyDescent="0.15">
      <c r="B69" s="3"/>
      <c r="C69" s="3"/>
      <c r="D69" s="3"/>
      <c r="E69" s="3"/>
      <c r="F69" s="3"/>
      <c r="G69" s="3"/>
      <c r="H69" s="3"/>
      <c r="I69" s="3"/>
      <c r="J69" s="3"/>
    </row>
    <row r="70" spans="2:10" x14ac:dyDescent="0.15">
      <c r="B70" s="3" t="s">
        <v>42</v>
      </c>
      <c r="C70" s="3" t="s">
        <v>131</v>
      </c>
      <c r="D70" s="3"/>
      <c r="E70" s="3"/>
      <c r="F70" s="3"/>
      <c r="G70" s="3"/>
      <c r="H70" s="3"/>
      <c r="I70" s="3"/>
      <c r="J70" s="3"/>
    </row>
    <row r="71" spans="2:10" x14ac:dyDescent="0.15">
      <c r="B71" s="3"/>
      <c r="C71" s="3"/>
      <c r="D71" s="3"/>
      <c r="E71" s="3"/>
      <c r="F71" s="3" t="s">
        <v>59</v>
      </c>
      <c r="G71" s="3"/>
      <c r="H71" s="3"/>
      <c r="I71" s="3"/>
      <c r="J71" s="3"/>
    </row>
    <row r="72" spans="2:10" x14ac:dyDescent="0.15">
      <c r="B72" s="3"/>
      <c r="C72" s="72" t="str">
        <f>"鉄筋径　D"&amp;FIXED(支間方向鉄筋径,0)&amp;" を "&amp;FIXED(支間方向鉄筋間隔,2)&amp;"cm 間隔に配置する。"</f>
        <v>鉄筋径　D19 を 15.00cm 間隔に配置する。</v>
      </c>
      <c r="D72" s="3"/>
      <c r="E72" s="3"/>
      <c r="F72" s="3"/>
      <c r="G72" s="3"/>
      <c r="H72" s="3"/>
      <c r="I72" s="3"/>
      <c r="J72" s="3"/>
    </row>
    <row r="73" spans="2:10" x14ac:dyDescent="0.15">
      <c r="C73" s="3"/>
      <c r="D73" s="3"/>
      <c r="E73" s="3"/>
      <c r="F73" s="3"/>
      <c r="G73" s="3"/>
    </row>
    <row r="74" spans="2:10" x14ac:dyDescent="0.15">
      <c r="B74" s="3" t="s">
        <v>67</v>
      </c>
      <c r="C74" s="3" t="s">
        <v>132</v>
      </c>
      <c r="D74" s="3"/>
      <c r="E74" s="3"/>
      <c r="F74" s="3"/>
      <c r="G74" s="3"/>
      <c r="H74" s="3"/>
      <c r="I74" s="3"/>
      <c r="J74" s="3"/>
    </row>
    <row r="75" spans="2:10" x14ac:dyDescent="0.15">
      <c r="B75" s="3"/>
      <c r="C75" s="3"/>
      <c r="D75" s="3"/>
      <c r="E75" s="3"/>
      <c r="F75" s="3" t="s">
        <v>59</v>
      </c>
      <c r="G75" s="3"/>
      <c r="H75" s="3"/>
      <c r="I75" s="3"/>
      <c r="J75" s="3"/>
    </row>
    <row r="76" spans="2:10" x14ac:dyDescent="0.15">
      <c r="B76" s="3"/>
      <c r="C76" s="72" t="str">
        <f>"鉄筋径　D"&amp;FIXED(直角方向鉄筋径,0)&amp;" を "&amp;FIXED(直角方向鉄筋間隔,2)&amp;"cm 間隔に配置する。"</f>
        <v>鉄筋径　D16 を 12.50cm 間隔に配置する。</v>
      </c>
      <c r="D76" s="3"/>
      <c r="E76" s="3"/>
      <c r="F76" s="3"/>
      <c r="G76" s="3"/>
      <c r="H76" s="3"/>
      <c r="I76" s="3"/>
      <c r="J76" s="3"/>
    </row>
    <row r="77" spans="2:10" x14ac:dyDescent="0.15">
      <c r="B77" s="3"/>
      <c r="C77" s="3"/>
      <c r="D77" s="3"/>
      <c r="E77" s="3"/>
      <c r="F77" s="3"/>
      <c r="G77" s="3"/>
      <c r="H77" s="3"/>
      <c r="I77" s="3"/>
    </row>
    <row r="78" spans="2:10" x14ac:dyDescent="0.15">
      <c r="B78" s="3" t="s">
        <v>75</v>
      </c>
      <c r="C78" s="3"/>
      <c r="D78" s="3"/>
      <c r="E78" s="3"/>
      <c r="F78" s="3"/>
      <c r="G78" s="3"/>
      <c r="H78" s="3"/>
      <c r="I78" s="3"/>
    </row>
    <row r="79" spans="2:10" x14ac:dyDescent="0.15">
      <c r="B79" s="3"/>
      <c r="C79" s="3"/>
      <c r="D79" s="3"/>
      <c r="E79" s="3"/>
      <c r="F79" s="3"/>
      <c r="G79" s="3"/>
      <c r="H79" s="3"/>
      <c r="I79" s="3"/>
    </row>
    <row r="80" spans="2:10" x14ac:dyDescent="0.15">
      <c r="B80" s="3" t="s">
        <v>23</v>
      </c>
      <c r="C80" s="3" t="s">
        <v>2</v>
      </c>
      <c r="D80" s="3"/>
      <c r="E80" s="3"/>
      <c r="F80" s="3"/>
      <c r="G80" s="3"/>
      <c r="H80" s="3"/>
      <c r="I80" s="3"/>
    </row>
    <row r="81" spans="2:10" x14ac:dyDescent="0.15">
      <c r="B81" s="3"/>
      <c r="C81" s="3"/>
      <c r="D81" s="3"/>
      <c r="E81" s="3"/>
      <c r="F81" s="3"/>
      <c r="G81" s="3"/>
      <c r="H81" s="3"/>
      <c r="I81" s="3"/>
    </row>
    <row r="82" spans="2:10" x14ac:dyDescent="0.15">
      <c r="C82" s="3" t="s">
        <v>76</v>
      </c>
      <c r="D82" s="3"/>
      <c r="E82" s="3"/>
      <c r="F82" s="3"/>
      <c r="G82" s="3"/>
      <c r="H82" s="3"/>
      <c r="I82" s="3"/>
    </row>
    <row r="83" spans="2:10" x14ac:dyDescent="0.15">
      <c r="C83" s="3" t="str">
        <f>"　＝ "&amp;FIXED(AS,2)&amp;" ／ （ 100 × "&amp;FIXED(SD,1)&amp;"） ＝"&amp;FIXED(AS/(100*SD),4)</f>
        <v>　＝ 19.10 ／ （ 100 × 15.0） ＝0.0127</v>
      </c>
      <c r="D83" s="3"/>
      <c r="E83" s="3"/>
      <c r="F83" s="30"/>
      <c r="G83" s="3"/>
      <c r="H83" s="3"/>
      <c r="I83" s="3"/>
    </row>
    <row r="84" spans="2:10" x14ac:dyDescent="0.15">
      <c r="B84" s="3"/>
      <c r="C84" s="21" t="str">
        <f>"　　ｋ："&amp;FIXED(K,3)</f>
        <v>　　ｋ：0.455</v>
      </c>
      <c r="D84" s="21"/>
      <c r="E84" s="3"/>
      <c r="F84" s="3"/>
      <c r="G84" s="3"/>
      <c r="H84" s="3"/>
      <c r="I84" s="3"/>
    </row>
    <row r="85" spans="2:10" x14ac:dyDescent="0.15">
      <c r="B85" s="3"/>
      <c r="C85" s="21" t="str">
        <f>"　　ｊ："&amp;FIXED(J,3)</f>
        <v>　　ｊ：0.848</v>
      </c>
      <c r="D85" s="21"/>
      <c r="E85" s="3"/>
      <c r="F85" s="3"/>
      <c r="G85" s="3"/>
      <c r="H85" s="3"/>
    </row>
    <row r="87" spans="2:10" x14ac:dyDescent="0.15">
      <c r="B87" s="3"/>
      <c r="C87" s="3" t="s">
        <v>79</v>
      </c>
      <c r="D87" s="3"/>
      <c r="E87" s="3"/>
      <c r="F87" s="3"/>
      <c r="G87" s="3"/>
      <c r="H87" s="3"/>
      <c r="I87" s="3"/>
    </row>
    <row r="88" spans="2:10" x14ac:dyDescent="0.15">
      <c r="B88" s="3"/>
      <c r="C88" s="3"/>
      <c r="D88" s="3"/>
      <c r="E88" s="3"/>
      <c r="F88" s="3"/>
      <c r="G88" s="3"/>
      <c r="H88" s="3"/>
      <c r="I88" s="3"/>
    </row>
    <row r="89" spans="2:10" x14ac:dyDescent="0.15">
      <c r="C89" s="3" t="s">
        <v>80</v>
      </c>
      <c r="D89" s="3"/>
      <c r="E89" s="3"/>
      <c r="F89" s="3"/>
      <c r="G89" s="3"/>
      <c r="H89" s="3"/>
      <c r="I89" s="3"/>
    </row>
    <row r="90" spans="2:10" x14ac:dyDescent="0.15">
      <c r="C90" s="3" t="str">
        <f>"　＝ "&amp;FIXED(_M1,3)&amp;" × 1000 ／ （ "&amp;FIXED(AS,2)&amp;" × "&amp;FIXED(J,3)&amp;" × "&amp;FIXED(SD,1)&amp;" ） ＝"&amp;FIXED(_M1*1000/(AS*J*SD),1)</f>
        <v>　＝ 28.425 × 1000 ／ （ 19.10 × 0.848 × 15.0 ） ＝117.0</v>
      </c>
      <c r="D90" s="3"/>
      <c r="E90" s="3"/>
      <c r="F90" s="3"/>
      <c r="G90" s="3"/>
      <c r="H90" s="63"/>
      <c r="I90" s="3"/>
    </row>
    <row r="91" spans="2:10" ht="15.75" x14ac:dyDescent="0.15">
      <c r="B91" s="3"/>
      <c r="C91" s="3"/>
      <c r="D91" s="3"/>
      <c r="E91" s="3"/>
      <c r="F91" s="3"/>
      <c r="G91" s="16" t="str">
        <f>IF(σs&lt;σsa,"＜","＞")</f>
        <v>＜</v>
      </c>
      <c r="H91" s="15">
        <f>σsa</f>
        <v>140</v>
      </c>
      <c r="I91" s="72" t="s">
        <v>112</v>
      </c>
    </row>
    <row r="92" spans="2:10" x14ac:dyDescent="0.15">
      <c r="B92" s="3"/>
      <c r="C92" s="3"/>
      <c r="D92" s="3"/>
      <c r="E92" s="3"/>
      <c r="F92" s="3"/>
      <c r="G92" s="16"/>
      <c r="H92" s="15"/>
      <c r="I92" s="82" t="str">
        <f>IF(σs&lt;σsa,"ＯＫ！","ＮＯ！")</f>
        <v>ＯＫ！</v>
      </c>
      <c r="J92" s="82"/>
    </row>
    <row r="93" spans="2:10" x14ac:dyDescent="0.15">
      <c r="B93" s="3"/>
      <c r="C93" s="3"/>
      <c r="D93" s="3"/>
      <c r="E93" s="3"/>
      <c r="F93" s="3"/>
      <c r="G93" s="3"/>
      <c r="H93" s="3"/>
      <c r="I93" s="3"/>
    </row>
    <row r="94" spans="2:10" x14ac:dyDescent="0.15">
      <c r="B94" s="3"/>
      <c r="C94" s="3" t="s">
        <v>81</v>
      </c>
      <c r="D94" s="3"/>
      <c r="E94" s="3"/>
      <c r="F94" s="3"/>
      <c r="G94" s="3"/>
      <c r="H94" s="3"/>
      <c r="I94" s="3"/>
    </row>
    <row r="95" spans="2:10" x14ac:dyDescent="0.15">
      <c r="B95" s="3"/>
      <c r="C95" s="3"/>
      <c r="D95" s="3"/>
      <c r="E95" s="3"/>
      <c r="F95" s="3"/>
      <c r="G95" s="3"/>
      <c r="H95" s="3"/>
      <c r="I95" s="3"/>
    </row>
    <row r="96" spans="2:10" ht="15.75" x14ac:dyDescent="0.15">
      <c r="C96" s="3" t="s">
        <v>113</v>
      </c>
      <c r="D96" s="3"/>
      <c r="E96" s="3"/>
      <c r="F96" s="3"/>
      <c r="G96" s="3"/>
      <c r="H96" s="3"/>
      <c r="I96" s="3"/>
    </row>
    <row r="97" spans="2:10" x14ac:dyDescent="0.15">
      <c r="C97" s="3" t="str">
        <f>"　＝ 2 × "&amp;FIXED(_M1,3)&amp;" × 1000 ／ （ "&amp;FIXED(K,3)&amp;" × "&amp;FIXED(J,3)&amp;" × 100 × "&amp;FIXED(SD,1)&amp;" 　） ＝"&amp;FIXED(2*_M1*1000/(K*J*100*SD^2),1)</f>
        <v>　＝ 2 × 28.425 × 1000 ／ （ 0.455 × 0.848 × 100 × 15.0 　） ＝6.5</v>
      </c>
      <c r="D97" s="3"/>
      <c r="E97" s="3"/>
      <c r="F97" s="3"/>
      <c r="G97" s="3"/>
      <c r="H97" s="3"/>
      <c r="I97" s="3"/>
      <c r="J97" s="62"/>
    </row>
    <row r="98" spans="2:10" ht="15.75" x14ac:dyDescent="0.15">
      <c r="B98" s="3"/>
      <c r="C98" s="3"/>
      <c r="D98" s="3"/>
      <c r="E98" s="3"/>
      <c r="F98" s="3"/>
      <c r="G98" s="16" t="str">
        <f>IF(σc&lt;σca,"＜","＞")</f>
        <v>＜</v>
      </c>
      <c r="H98" s="15">
        <f>σca</f>
        <v>8</v>
      </c>
      <c r="I98" s="72" t="s">
        <v>112</v>
      </c>
    </row>
    <row r="99" spans="2:10" x14ac:dyDescent="0.15">
      <c r="B99" s="3"/>
      <c r="C99" s="3"/>
      <c r="D99" s="3"/>
      <c r="E99" s="3"/>
      <c r="F99" s="3"/>
      <c r="G99" s="16"/>
      <c r="H99" s="15"/>
      <c r="I99" s="82" t="str">
        <f>IF(σc&lt;σca,"ＯＫ！","ＮＯ！")</f>
        <v>ＯＫ！</v>
      </c>
      <c r="J99" s="82"/>
    </row>
    <row r="100" spans="2:10" x14ac:dyDescent="0.15">
      <c r="B100" s="3"/>
      <c r="C100" s="3"/>
      <c r="D100" s="3"/>
      <c r="E100" s="3"/>
      <c r="F100" s="3"/>
      <c r="G100" s="3"/>
      <c r="H100" s="3"/>
      <c r="I100" s="3"/>
    </row>
    <row r="101" spans="2:10" x14ac:dyDescent="0.15">
      <c r="B101" s="3" t="s">
        <v>42</v>
      </c>
      <c r="C101" s="3" t="s">
        <v>82</v>
      </c>
      <c r="D101" s="3"/>
      <c r="E101" s="3"/>
      <c r="F101" s="3"/>
      <c r="G101" s="3"/>
      <c r="H101" s="3"/>
      <c r="I101" s="3"/>
    </row>
    <row r="102" spans="2:10" x14ac:dyDescent="0.15">
      <c r="B102" s="3"/>
      <c r="C102" s="3"/>
      <c r="D102" s="3"/>
      <c r="E102" s="3"/>
      <c r="F102" s="3"/>
      <c r="G102" s="3"/>
      <c r="H102" s="3"/>
      <c r="I102" s="3"/>
    </row>
    <row r="103" spans="2:10" x14ac:dyDescent="0.15">
      <c r="C103" s="3" t="s">
        <v>83</v>
      </c>
      <c r="D103" s="3"/>
      <c r="E103" s="3"/>
      <c r="F103" s="3"/>
      <c r="G103" s="3"/>
      <c r="H103" s="3"/>
      <c r="I103" s="3"/>
    </row>
    <row r="104" spans="2:10" x14ac:dyDescent="0.15">
      <c r="C104" s="3" t="str">
        <f>"　＝ "&amp;FIXED(FS,2)&amp;" ／ （ 100 × "&amp;FIXED(SD,1)&amp;"） ＝"&amp;FIXED(FS/(100*SD),4)</f>
        <v>　＝ 15.89 ／ （ 100 × 15.0） ＝0.0106</v>
      </c>
      <c r="D104" s="3"/>
      <c r="E104" s="3"/>
      <c r="F104" s="30"/>
      <c r="G104" s="3"/>
      <c r="H104" s="3"/>
      <c r="I104" s="3"/>
    </row>
    <row r="105" spans="2:10" x14ac:dyDescent="0.15">
      <c r="B105" s="3"/>
      <c r="C105" s="21" t="str">
        <f>"　　ｋ："&amp;FIXED(_k2,3)</f>
        <v>　　ｋ：0.427</v>
      </c>
      <c r="D105" s="21"/>
      <c r="E105" s="3"/>
      <c r="F105" s="3"/>
      <c r="G105" s="3"/>
      <c r="H105" s="3"/>
      <c r="I105" s="3"/>
    </row>
    <row r="106" spans="2:10" x14ac:dyDescent="0.15">
      <c r="B106" s="3"/>
      <c r="C106" s="21" t="str">
        <f>"　　ｊ："&amp;FIXED(_j2,3)</f>
        <v>　　ｊ：0.858</v>
      </c>
      <c r="D106" s="21"/>
      <c r="E106" s="3"/>
      <c r="F106" s="3"/>
      <c r="G106" s="3"/>
      <c r="H106" s="3"/>
      <c r="I106" s="3"/>
    </row>
    <row r="107" spans="2:10" x14ac:dyDescent="0.15">
      <c r="B107" s="3"/>
      <c r="C107" s="3"/>
      <c r="D107" s="3"/>
      <c r="E107" s="3"/>
      <c r="F107" s="3"/>
      <c r="G107" s="3"/>
      <c r="H107" s="3"/>
      <c r="I107" s="3"/>
    </row>
    <row r="108" spans="2:10" x14ac:dyDescent="0.15">
      <c r="B108" s="3"/>
      <c r="C108" s="3"/>
      <c r="D108" s="3"/>
      <c r="E108" s="3"/>
      <c r="F108" s="3"/>
      <c r="G108" s="3"/>
      <c r="H108" s="3"/>
      <c r="I108" s="3"/>
    </row>
    <row r="109" spans="2:10" x14ac:dyDescent="0.15">
      <c r="B109" s="3"/>
      <c r="C109" s="3" t="s">
        <v>84</v>
      </c>
      <c r="D109" s="3"/>
      <c r="E109" s="3"/>
      <c r="F109" s="3"/>
      <c r="G109" s="3"/>
      <c r="H109" s="3"/>
      <c r="I109" s="3"/>
    </row>
    <row r="110" spans="2:10" x14ac:dyDescent="0.15">
      <c r="C110" s="3" t="s">
        <v>85</v>
      </c>
      <c r="D110" s="3"/>
      <c r="E110" s="3"/>
      <c r="F110" s="3"/>
      <c r="G110" s="3"/>
      <c r="H110" s="3"/>
      <c r="I110" s="3"/>
    </row>
    <row r="111" spans="2:10" x14ac:dyDescent="0.15">
      <c r="C111" s="3" t="str">
        <f>"　＝ "&amp;FIXED(_M2,3)&amp;" × 1000 ／ （ "&amp;FIXED(FS,2)&amp;" × "&amp;FIXED(_j2,3)&amp;" × "&amp;FIXED(SD,1)&amp;" ） ＝"&amp;FIXED(_M2*1000/(FS*_j2*SD),1)</f>
        <v>　＝ 19.200 × 1000 ／ （ 15.89 × 0.858 × 15.0 ） ＝93.9</v>
      </c>
      <c r="D111" s="3"/>
      <c r="E111" s="3"/>
      <c r="F111" s="3"/>
      <c r="G111" s="3"/>
      <c r="H111" s="64"/>
      <c r="I111" s="3"/>
    </row>
    <row r="112" spans="2:10" ht="15.75" x14ac:dyDescent="0.15">
      <c r="B112" s="3"/>
      <c r="C112" s="3"/>
      <c r="D112" s="3"/>
      <c r="E112" s="3"/>
      <c r="F112" s="3"/>
      <c r="G112" s="16" t="str">
        <f>IF(σs2&lt;σsa,"＜","＞")</f>
        <v>＜</v>
      </c>
      <c r="H112" s="15">
        <f>σsa</f>
        <v>140</v>
      </c>
      <c r="I112" s="72" t="s">
        <v>112</v>
      </c>
    </row>
    <row r="113" spans="2:10" x14ac:dyDescent="0.15">
      <c r="B113" s="3"/>
      <c r="C113" s="3"/>
      <c r="D113" s="3"/>
      <c r="E113" s="3"/>
      <c r="F113" s="3"/>
      <c r="G113" s="16"/>
      <c r="H113" s="15"/>
      <c r="I113" s="82" t="str">
        <f>IF(σs2&lt;σsa,"ＯＫ！","ＮＯ！")</f>
        <v>ＯＫ！</v>
      </c>
      <c r="J113" s="82"/>
    </row>
    <row r="114" spans="2:10" x14ac:dyDescent="0.15">
      <c r="B114" s="3"/>
      <c r="C114" s="3"/>
      <c r="D114" s="3"/>
      <c r="E114" s="3"/>
      <c r="F114" s="3"/>
      <c r="G114" s="3"/>
      <c r="H114" s="3"/>
      <c r="I114" s="3"/>
    </row>
    <row r="115" spans="2:10" x14ac:dyDescent="0.15">
      <c r="B115" s="3"/>
      <c r="C115" s="3" t="s">
        <v>81</v>
      </c>
      <c r="D115" s="3"/>
      <c r="E115" s="3"/>
      <c r="F115" s="3"/>
      <c r="G115" s="3"/>
      <c r="H115" s="3"/>
      <c r="I115" s="3"/>
    </row>
    <row r="116" spans="2:10" x14ac:dyDescent="0.15">
      <c r="B116" s="3"/>
      <c r="C116" s="3"/>
      <c r="D116" s="3"/>
      <c r="E116" s="3"/>
      <c r="F116" s="3"/>
      <c r="G116" s="3"/>
      <c r="H116" s="3"/>
      <c r="I116" s="3"/>
    </row>
    <row r="117" spans="2:10" ht="15.75" x14ac:dyDescent="0.15">
      <c r="C117" s="3" t="s">
        <v>114</v>
      </c>
      <c r="D117" s="3"/>
      <c r="E117" s="3"/>
      <c r="F117" s="3"/>
      <c r="G117" s="3"/>
      <c r="H117" s="3"/>
      <c r="I117" s="3"/>
    </row>
    <row r="118" spans="2:10" x14ac:dyDescent="0.15">
      <c r="C118" s="3" t="str">
        <f>"　＝ 2 × "&amp;FIXED(_M2,3)&amp;" × 1000 ／ （ "&amp;FIXED(_k2,3)&amp;" × "&amp;FIXED(_j2,3)&amp;" × 100 × "&amp;FIXED(SD,1)&amp;" 　） ＝"&amp;FIXED(2*_M2*1000/(_k2*_j2*100*SD^2),1)</f>
        <v>　＝ 2 × 19.200 × 1000 ／ （ 0.427 × 0.858 × 100 × 15.0 　） ＝4.7</v>
      </c>
      <c r="D118" s="3"/>
      <c r="E118" s="3"/>
      <c r="F118" s="3"/>
      <c r="G118" s="3"/>
      <c r="H118" s="3"/>
      <c r="I118" s="3"/>
      <c r="J118" s="65"/>
    </row>
    <row r="119" spans="2:10" ht="15.75" x14ac:dyDescent="0.15">
      <c r="B119" s="3"/>
      <c r="C119" s="3"/>
      <c r="D119" s="3"/>
      <c r="E119" s="3"/>
      <c r="F119" s="3"/>
      <c r="G119" s="16" t="str">
        <f>IF(σc2&lt;σca,"＜","＞")</f>
        <v>＜</v>
      </c>
      <c r="H119" s="15">
        <f>σca</f>
        <v>8</v>
      </c>
      <c r="I119" s="72" t="s">
        <v>112</v>
      </c>
    </row>
    <row r="120" spans="2:10" x14ac:dyDescent="0.15">
      <c r="B120" s="3"/>
      <c r="C120" s="3"/>
      <c r="D120" s="3"/>
      <c r="E120" s="3"/>
      <c r="F120" s="3"/>
      <c r="G120" s="3"/>
      <c r="H120" s="3"/>
      <c r="I120" s="82" t="str">
        <f>IF(σc2&lt;σca,"ＯＫ！","ＮＯ！")</f>
        <v>ＯＫ！</v>
      </c>
    </row>
  </sheetData>
  <sheetProtection algorithmName="SHA-512" hashValue="gAzb3iIhMWjF1LuBTGReMSyYL/sB+Uo9rcDddFgtOFgY9Az8kAPz8/e4qSctFX74+obAhZutv8Kt1udCjimhvA==" saltValue="WiFkSYUAoQn/tjjoN+2iKg==" spinCount="100000" sheet="1" objects="1" scenarios="1"/>
  <phoneticPr fontId="12"/>
  <printOptions gridLinesSet="0"/>
  <pageMargins left="0.54" right="0.21" top="0.5" bottom="0.5" header="0.5" footer="0.5"/>
  <pageSetup paperSize="9" orientation="portrait" horizontalDpi="4294967292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07A2-C1CB-41A5-8CD0-0ED8818BB3E6}">
  <dimension ref="A1"/>
  <sheetViews>
    <sheetView workbookViewId="0">
      <selection activeCell="B1" sqref="B1"/>
    </sheetView>
  </sheetViews>
  <sheetFormatPr defaultRowHeight="13.5" x14ac:dyDescent="0.15"/>
  <sheetData>
    <row r="1" spans="1:1" x14ac:dyDescent="0.15">
      <c r="A1" t="s">
        <v>134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38</vt:i4>
      </vt:variant>
    </vt:vector>
  </HeadingPairs>
  <TitlesOfParts>
    <vt:vector size="41" baseType="lpstr">
      <vt:lpstr>データー入力</vt:lpstr>
      <vt:lpstr>出力シート</vt:lpstr>
      <vt:lpstr>編集時</vt:lpstr>
      <vt:lpstr>_CC1</vt:lpstr>
      <vt:lpstr>_CC2</vt:lpstr>
      <vt:lpstr>_j2</vt:lpstr>
      <vt:lpstr>_k2</vt:lpstr>
      <vt:lpstr>_M1</vt:lpstr>
      <vt:lpstr>_M2</vt:lpstr>
      <vt:lpstr>AS</vt:lpstr>
      <vt:lpstr>FS</vt:lpstr>
      <vt:lpstr>H</vt:lpstr>
      <vt:lpstr>J</vt:lpstr>
      <vt:lpstr>K</vt:lpstr>
      <vt:lpstr>MD</vt:lpstr>
      <vt:lpstr>MLI</vt:lpstr>
      <vt:lpstr>データー入力!Print_Area</vt:lpstr>
      <vt:lpstr>出力シート!Print_Area</vt:lpstr>
      <vt:lpstr>RF</vt:lpstr>
      <vt:lpstr>SD</vt:lpstr>
      <vt:lpstr>W</vt:lpstr>
      <vt:lpstr>WW</vt:lpstr>
      <vt:lpstr>σc</vt:lpstr>
      <vt:lpstr>σc2</vt:lpstr>
      <vt:lpstr>σca</vt:lpstr>
      <vt:lpstr>σs</vt:lpstr>
      <vt:lpstr>σs2</vt:lpstr>
      <vt:lpstr>σsa</vt:lpstr>
      <vt:lpstr>かぶり</vt:lpstr>
      <vt:lpstr>支間</vt:lpstr>
      <vt:lpstr>支間方向鉄筋間隔</vt:lpstr>
      <vt:lpstr>支間方向鉄筋径</vt:lpstr>
      <vt:lpstr>床版厚</vt:lpstr>
      <vt:lpstr>直角方向鉄筋間隔</vt:lpstr>
      <vt:lpstr>直角方向鉄筋径</vt:lpstr>
      <vt:lpstr>鉄筋表1</vt:lpstr>
      <vt:lpstr>鉄筋表2</vt:lpstr>
      <vt:lpstr>幅員</vt:lpstr>
      <vt:lpstr>舗装厚</vt:lpstr>
      <vt:lpstr>舗装種別</vt:lpstr>
      <vt:lpstr>有効厚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株式会社オガワ設計技術</dc:creator>
  <cp:lastModifiedBy>株式会社オガワ設計技術</cp:lastModifiedBy>
  <cp:lastPrinted>2005-05-13T01:42:01Z</cp:lastPrinted>
  <dcterms:created xsi:type="dcterms:W3CDTF">2003-12-15T02:28:30Z</dcterms:created>
  <dcterms:modified xsi:type="dcterms:W3CDTF">2025-12-24T02:24:35Z</dcterms:modified>
</cp:coreProperties>
</file>