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設計計算書（Excel等通常使用）\公開用（パスワード設定）\"/>
    </mc:Choice>
  </mc:AlternateContent>
  <xr:revisionPtr revIDLastSave="0" documentId="13_ncr:1_{A12562CF-048E-4881-A331-41B78C1F5E4F}" xr6:coauthVersionLast="47" xr6:coauthVersionMax="47" xr10:uidLastSave="{00000000-0000-0000-0000-000000000000}"/>
  <bookViews>
    <workbookView xWindow="2385" yWindow="1005" windowWidth="23385" windowHeight="14145" xr2:uid="{00000000-000D-0000-FFFF-FFFF00000000}"/>
  </bookViews>
  <sheets>
    <sheet name="データー入力" sheetId="1" r:id="rId1"/>
    <sheet name="出力シート" sheetId="2" r:id="rId2"/>
    <sheet name="編集時" sheetId="3" r:id="rId3"/>
  </sheets>
  <externalReferences>
    <externalReference r:id="rId4"/>
  </externalReferences>
  <definedNames>
    <definedName name="_CC1" localSheetId="2">[1]データー入力!$F$75</definedName>
    <definedName name="_CC1">データー入力!$F$75</definedName>
    <definedName name="_CC2" localSheetId="2">[1]データー入力!$F$83</definedName>
    <definedName name="_CC2">データー入力!$F$83</definedName>
    <definedName name="_j2" localSheetId="2">[1]データー入力!$D$129</definedName>
    <definedName name="_j2">データー入力!$D$129</definedName>
    <definedName name="_k2" localSheetId="2">[1]データー入力!$D$128</definedName>
    <definedName name="_k2">データー入力!$D$128</definedName>
    <definedName name="_M1" localSheetId="2">[1]データー入力!$G$61</definedName>
    <definedName name="_M1">データー入力!$G$61</definedName>
    <definedName name="_M2" localSheetId="2">[1]データー入力!$G$66</definedName>
    <definedName name="_M2">データー入力!$H$66</definedName>
    <definedName name="AS" localSheetId="2">[1]データー入力!$D$89</definedName>
    <definedName name="AS">データー入力!$D$89</definedName>
    <definedName name="FS" localSheetId="2">[1]データー入力!$D$100</definedName>
    <definedName name="FS">データー入力!$D$100</definedName>
    <definedName name="H" localSheetId="2">[1]データー入力!$E$43</definedName>
    <definedName name="H">データー入力!$E$43</definedName>
    <definedName name="J" localSheetId="2">[1]データー入力!$D$110</definedName>
    <definedName name="J">データー入力!$D$110</definedName>
    <definedName name="K" localSheetId="2">[1]データー入力!$D$109</definedName>
    <definedName name="K">データー入力!$D$109</definedName>
    <definedName name="MD" localSheetId="2">[1]データー入力!$G$56</definedName>
    <definedName name="MD">データー入力!$G$56</definedName>
    <definedName name="MLI" localSheetId="2">[1]データー入力!$H$38</definedName>
    <definedName name="MLI">データー入力!$I$38</definedName>
    <definedName name="_xlnm.Print_Area" localSheetId="0">データー入力!$B$6:$J$142</definedName>
    <definedName name="_xlnm.Print_Area" localSheetId="1">出力シート!$A$1:$I$120</definedName>
    <definedName name="RF">データー入力!$C$126:$M$127</definedName>
    <definedName name="SD" localSheetId="2">[1]データー入力!$H$78</definedName>
    <definedName name="SD">データー入力!$H$78</definedName>
    <definedName name="W">データー入力!$G$52</definedName>
    <definedName name="WW" localSheetId="2">[1]データー入力!$G$51</definedName>
    <definedName name="WW">データー入力!$G$51</definedName>
    <definedName name="σc" localSheetId="2">[1]データー入力!$J$121</definedName>
    <definedName name="σc">データー入力!$J$121</definedName>
    <definedName name="σc2" localSheetId="2">[1]データー入力!$J$140</definedName>
    <definedName name="σc2">データー入力!$J$140</definedName>
    <definedName name="σca" localSheetId="2">[1]データー入力!$F$15</definedName>
    <definedName name="σca">データー入力!$F$15</definedName>
    <definedName name="σs" localSheetId="2">[1]データー入力!$H$115</definedName>
    <definedName name="σs">データー入力!$H$115</definedName>
    <definedName name="σs2" localSheetId="2">[1]データー入力!$I$134</definedName>
    <definedName name="σs2">データー入力!$I$134</definedName>
    <definedName name="σsa" localSheetId="2">[1]データー入力!$F$16</definedName>
    <definedName name="σsa">データー入力!$F$16</definedName>
    <definedName name="かぶり" localSheetId="2">[1]データー入力!$D$78</definedName>
    <definedName name="かぶり">データー入力!$D$78</definedName>
    <definedName name="支間" localSheetId="2">[1]データー入力!$G$11</definedName>
    <definedName name="支間">データー入力!$G$11</definedName>
    <definedName name="支間方向鉄筋間隔" localSheetId="2">[1]データー入力!$E$87</definedName>
    <definedName name="支間方向鉄筋間隔">データー入力!$E$87</definedName>
    <definedName name="支間方向鉄筋径" localSheetId="2">[1]データー入力!$D$87</definedName>
    <definedName name="支間方向鉄筋径">データー入力!$D$87</definedName>
    <definedName name="床版厚" localSheetId="2">[1]データー入力!$E$43</definedName>
    <definedName name="床版厚">データー入力!$E$43</definedName>
    <definedName name="直角方向鉄筋間隔" localSheetId="2">[1]データー入力!$E$98</definedName>
    <definedName name="直角方向鉄筋間隔">データー入力!$E$98</definedName>
    <definedName name="直角方向鉄筋径" localSheetId="2">[1]データー入力!$D$98</definedName>
    <definedName name="直角方向鉄筋径">データー入力!$D$98</definedName>
    <definedName name="鉄筋表1" localSheetId="2">[1]データー入力!$D$145:$H$146</definedName>
    <definedName name="鉄筋表1">データー入力!$D$145:$H$146</definedName>
    <definedName name="鉄筋表2" localSheetId="2">[1]データー入力!$D$148:$H$149</definedName>
    <definedName name="鉄筋表2">データー入力!$D$148:$H$149</definedName>
    <definedName name="幅員" localSheetId="2">[1]データー入力!$G$12</definedName>
    <definedName name="幅員">データー入力!$G$12</definedName>
    <definedName name="舗装厚" localSheetId="2">[1]データー入力!$G$13</definedName>
    <definedName name="舗装厚">データー入力!$G$13</definedName>
    <definedName name="舗装種別" localSheetId="2">[1]データー入力!$F$3</definedName>
    <definedName name="舗装種別">データー入力!$F$3</definedName>
    <definedName name="有効厚" localSheetId="2">[1]データー入力!$H$78</definedName>
    <definedName name="有効厚">データー入力!$H$78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2" l="1"/>
  <c r="G7" i="2"/>
  <c r="K18" i="2"/>
  <c r="K16" i="2"/>
  <c r="I13" i="1"/>
  <c r="C38" i="1"/>
  <c r="I38" i="1"/>
  <c r="E47" i="1"/>
  <c r="G47" i="1"/>
  <c r="I47" i="1"/>
  <c r="G49" i="1"/>
  <c r="G51" i="1" s="1"/>
  <c r="C66" i="1"/>
  <c r="H66" i="1"/>
  <c r="I97" i="1" s="1"/>
  <c r="F100" i="1" s="1"/>
  <c r="F75" i="1"/>
  <c r="D77" i="1" s="1"/>
  <c r="F78" i="1"/>
  <c r="H78" i="1" s="1"/>
  <c r="C67" i="2" s="1"/>
  <c r="F83" i="1"/>
  <c r="D97" i="1" s="1"/>
  <c r="D88" i="1"/>
  <c r="D89" i="1" s="1"/>
  <c r="F95" i="1"/>
  <c r="D99" i="1"/>
  <c r="D100" i="1" s="1"/>
  <c r="H116" i="1"/>
  <c r="H122" i="1"/>
  <c r="H135" i="1"/>
  <c r="H141" i="1"/>
  <c r="G8" i="2"/>
  <c r="H8" i="2"/>
  <c r="F10" i="2"/>
  <c r="F11" i="2"/>
  <c r="K14" i="2"/>
  <c r="K20" i="2"/>
  <c r="C31" i="2"/>
  <c r="C36" i="2"/>
  <c r="C38" i="2"/>
  <c r="G38" i="2"/>
  <c r="I38" i="2"/>
  <c r="G40" i="2"/>
  <c r="C60" i="2"/>
  <c r="C71" i="2"/>
  <c r="C75" i="2"/>
  <c r="H90" i="2"/>
  <c r="H97" i="2"/>
  <c r="H111" i="2"/>
  <c r="H118" i="2"/>
  <c r="C56" i="1" l="1"/>
  <c r="G42" i="2"/>
  <c r="C48" i="2"/>
  <c r="F97" i="1"/>
  <c r="D85" i="1"/>
  <c r="C82" i="2"/>
  <c r="C108" i="1"/>
  <c r="F108" i="1"/>
  <c r="D109" i="1" s="1"/>
  <c r="G127" i="1"/>
  <c r="D128" i="1" s="1"/>
  <c r="C103" i="2"/>
  <c r="H100" i="1"/>
  <c r="C127" i="1"/>
  <c r="G56" i="1"/>
  <c r="C54" i="2" l="1"/>
  <c r="C61" i="1"/>
  <c r="G61" i="1"/>
  <c r="C104" i="2"/>
  <c r="D129" i="1"/>
  <c r="C117" i="2" s="1"/>
  <c r="D110" i="1"/>
  <c r="C84" i="2" s="1"/>
  <c r="C83" i="2"/>
  <c r="J140" i="1"/>
  <c r="C140" i="1" l="1"/>
  <c r="J141" i="1"/>
  <c r="I119" i="2"/>
  <c r="G118" i="2"/>
  <c r="G141" i="1"/>
  <c r="C105" i="2"/>
  <c r="I134" i="1"/>
  <c r="C134" i="1"/>
  <c r="C110" i="2"/>
  <c r="F77" i="1"/>
  <c r="C115" i="1"/>
  <c r="H115" i="1"/>
  <c r="C96" i="2"/>
  <c r="F85" i="1"/>
  <c r="C121" i="1"/>
  <c r="I85" i="1"/>
  <c r="J121" i="1"/>
  <c r="C89" i="2"/>
  <c r="I77" i="1"/>
  <c r="I112" i="2" l="1"/>
  <c r="G135" i="1"/>
  <c r="J135" i="1"/>
  <c r="G111" i="2"/>
  <c r="G90" i="2"/>
  <c r="I91" i="2"/>
  <c r="G116" i="1"/>
  <c r="J116" i="1"/>
  <c r="G97" i="2"/>
  <c r="I98" i="2"/>
  <c r="G122" i="1"/>
  <c r="J122" i="1"/>
  <c r="F89" i="1"/>
  <c r="H89" i="1"/>
  <c r="E89" i="1"/>
</calcChain>
</file>

<file path=xl/sharedStrings.xml><?xml version="1.0" encoding="utf-8"?>
<sst xmlns="http://schemas.openxmlformats.org/spreadsheetml/2006/main" count="214" uniqueCount="134">
  <si>
    <t>（ｱｽﾌｧﾙﾄ=1 ｺﾝｸﾘｰﾄ=2)</t>
  </si>
  <si>
    <t>１　設計条件</t>
  </si>
  <si>
    <t>支間方向</t>
  </si>
  <si>
    <t>支間</t>
  </si>
  <si>
    <t>　　Ｌ＝</t>
  </si>
  <si>
    <t>ｍ</t>
  </si>
  <si>
    <t>幅員</t>
  </si>
  <si>
    <t>有効幅員</t>
  </si>
  <si>
    <t>　　Ｗ＝</t>
  </si>
  <si>
    <t>舗装</t>
  </si>
  <si>
    <t>平 均 厚</t>
  </si>
  <si>
    <t>　　ｔ＝</t>
  </si>
  <si>
    <t>ｃｍ</t>
  </si>
  <si>
    <t>荷重</t>
  </si>
  <si>
    <t>Ａ荷重</t>
  </si>
  <si>
    <t>許容応力度</t>
  </si>
  <si>
    <t>δｃａ ＝</t>
  </si>
  <si>
    <t>δｓａ ＝</t>
  </si>
  <si>
    <t>Ｗ</t>
  </si>
  <si>
    <t>Ｌ</t>
  </si>
  <si>
    <t>２　曲げモーメントの計算</t>
  </si>
  <si>
    <t>（スラブ幅１ｍ当り）</t>
  </si>
  <si>
    <t>　　１）</t>
  </si>
  <si>
    <t>支間方向曲げモーメント</t>
  </si>
  <si>
    <t>活荷重（衝撃を含む）による設計曲げモーメント：Ａ荷重のため20％低減する</t>
  </si>
  <si>
    <t>Ｌ：</t>
  </si>
  <si>
    <t>Ｔ荷重に対する床版の支間（m）</t>
  </si>
  <si>
    <t>Ｐ：</t>
  </si>
  <si>
    <t>死荷重による設計曲げモーメント</t>
  </si>
  <si>
    <t>　仮定スラブ厚　ｈ＝</t>
  </si>
  <si>
    <t>　橋面１平方ｍ当りの等分布荷重</t>
  </si>
  <si>
    <t>　舗      装</t>
  </si>
  <si>
    <r>
      <t>Ｗ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 xml:space="preserve"> ＝</t>
    </r>
  </si>
  <si>
    <t>　ス  ラ  ブ</t>
  </si>
  <si>
    <r>
      <t>Ｗ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 xml:space="preserve"> ＝</t>
    </r>
  </si>
  <si>
    <t>　合   計</t>
  </si>
  <si>
    <t>Ｗ  ＝</t>
  </si>
  <si>
    <t>等分布荷重による設計曲げモーメント</t>
  </si>
  <si>
    <r>
      <t xml:space="preserve">  Ｍ</t>
    </r>
    <r>
      <rPr>
        <sz val="9"/>
        <color indexed="8"/>
        <rFont val="ＭＳ 明朝"/>
        <family val="1"/>
        <charset val="128"/>
      </rPr>
      <t>ｄ</t>
    </r>
    <r>
      <rPr>
        <sz val="11"/>
        <color indexed="8"/>
        <rFont val="ＭＳ 明朝"/>
        <family val="1"/>
        <charset val="128"/>
      </rPr>
      <t>＝１／８・Ｗ・Ｌ</t>
    </r>
    <r>
      <rPr>
        <vertAlign val="superscript"/>
        <sz val="11"/>
        <color indexed="8"/>
        <rFont val="ＭＳ 明朝"/>
        <family val="1"/>
        <charset val="128"/>
      </rPr>
      <t>２</t>
    </r>
  </si>
  <si>
    <t>合計設計曲げモーメント</t>
  </si>
  <si>
    <r>
      <t xml:space="preserve">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＝　Ｍ</t>
    </r>
    <r>
      <rPr>
        <sz val="9"/>
        <color indexed="8"/>
        <rFont val="ＭＳ 明朝"/>
        <family val="1"/>
        <charset val="128"/>
      </rPr>
      <t>ｌｉ</t>
    </r>
    <r>
      <rPr>
        <sz val="11"/>
        <color indexed="8"/>
        <rFont val="ＭＳ 明朝"/>
        <family val="1"/>
        <charset val="128"/>
      </rPr>
      <t>　＋　Ｍ</t>
    </r>
    <r>
      <rPr>
        <sz val="9"/>
        <color indexed="8"/>
        <rFont val="ＭＳ 明朝"/>
        <family val="1"/>
        <charset val="128"/>
      </rPr>
      <t>ｄ</t>
    </r>
  </si>
  <si>
    <t>　　２）</t>
  </si>
  <si>
    <t>支間直角方向曲げモーメント</t>
  </si>
  <si>
    <t>３　断面および鉄筋量の計算</t>
  </si>
  <si>
    <t>スラブ厚の計算</t>
  </si>
  <si>
    <t xml:space="preserve">             </t>
  </si>
  <si>
    <t>有効厚さ</t>
  </si>
  <si>
    <r>
      <t xml:space="preserve">       ｄ＝Ｃ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 xml:space="preserve"> ・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／ｂ　　（ｃｍ）</t>
    </r>
  </si>
  <si>
    <r>
      <t>　Ｃ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：</t>
    </r>
  </si>
  <si>
    <t xml:space="preserve">                    </t>
  </si>
  <si>
    <t>　　ｄ＝</t>
  </si>
  <si>
    <t xml:space="preserve">   ×　 </t>
  </si>
  <si>
    <t>故にかぶり</t>
  </si>
  <si>
    <t>とし全厚</t>
  </si>
  <si>
    <t xml:space="preserve"> 有効厚</t>
  </si>
  <si>
    <t xml:space="preserve"> とする。</t>
  </si>
  <si>
    <t>支間方向鉄筋量の計算</t>
  </si>
  <si>
    <t xml:space="preserve">         </t>
  </si>
  <si>
    <r>
      <t xml:space="preserve">      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 xml:space="preserve"> ・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・ｂ     （ｃ㎡）</t>
    </r>
  </si>
  <si>
    <r>
      <t>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：</t>
    </r>
  </si>
  <si>
    <r>
      <t>　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</si>
  <si>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>ｃ㎡</t>
  </si>
  <si>
    <t>故に鉄筋Ｄ</t>
  </si>
  <si>
    <t>ｃｍ 間隔に配置すると</t>
  </si>
  <si>
    <r>
      <t>　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′＝</t>
    </r>
  </si>
  <si>
    <t>　　３）</t>
  </si>
  <si>
    <t>支間直角方向鉄筋量の計算</t>
  </si>
  <si>
    <r>
      <t xml:space="preserve">      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・ 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・ｂ     （ｃ㎡）</t>
    </r>
  </si>
  <si>
    <r>
      <t>　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</si>
  <si>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 xml:space="preserve">   ×　</t>
  </si>
  <si>
    <t>ｃｍ　間隔に配置すると</t>
  </si>
  <si>
    <r>
      <t>　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′＝</t>
    </r>
  </si>
  <si>
    <r>
      <t>＞Ｆ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</si>
  <si>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>４　応力の点検</t>
  </si>
  <si>
    <r>
      <t xml:space="preserve">  Ｐ  ＝ 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 xml:space="preserve"> ／ （ｂ・ｄ）</t>
    </r>
  </si>
  <si>
    <t>ｋ：</t>
  </si>
  <si>
    <t>ｊ：</t>
  </si>
  <si>
    <t>支間方向鉄筋の引張応力度</t>
  </si>
  <si>
    <r>
      <t xml:space="preserve">  δ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／（Ａｓ・ｊ・ｄ）</t>
    </r>
  </si>
  <si>
    <t>コンクリートの圧縮応力度</t>
  </si>
  <si>
    <t>支間直角方向</t>
  </si>
  <si>
    <r>
      <t>　Ｐ  ＝ 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 xml:space="preserve"> ／ （ｂ・ｄ）</t>
    </r>
  </si>
  <si>
    <t>支間直角方向鉄筋の引張応力度</t>
  </si>
  <si>
    <r>
      <t>　δ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・ｊ・ｄ）</t>
    </r>
  </si>
  <si>
    <t xml:space="preserve">  異径鉄筋断面積</t>
  </si>
  <si>
    <t>（ｃ㎡）</t>
  </si>
  <si>
    <t>鉄筋径 D</t>
  </si>
  <si>
    <t>断面積</t>
  </si>
  <si>
    <t>KN・m</t>
    <phoneticPr fontId="12"/>
  </si>
  <si>
    <t>Ｔ荷重の片側荷重（100KN）</t>
    <phoneticPr fontId="12"/>
  </si>
  <si>
    <t>鉄筋</t>
    <rPh sb="0" eb="2">
      <t>テッキン</t>
    </rPh>
    <phoneticPr fontId="12"/>
  </si>
  <si>
    <r>
      <t>KN/m</t>
    </r>
    <r>
      <rPr>
        <vertAlign val="superscript"/>
        <sz val="11"/>
        <color indexed="8"/>
        <rFont val="ＭＳ 明朝"/>
        <family val="1"/>
        <charset val="128"/>
      </rPr>
      <t>3</t>
    </r>
    <r>
      <rPr>
        <sz val="11"/>
        <color indexed="8"/>
        <rFont val="ＭＳ 明朝"/>
        <family val="1"/>
        <charset val="128"/>
      </rPr>
      <t>）</t>
    </r>
    <phoneticPr fontId="12"/>
  </si>
  <si>
    <t>KN／㎡</t>
    <phoneticPr fontId="12"/>
  </si>
  <si>
    <t>(24.5</t>
    <phoneticPr fontId="12"/>
  </si>
  <si>
    <r>
      <t>K</t>
    </r>
    <r>
      <rPr>
        <sz val="11"/>
        <rFont val="ＭＳ 明朝"/>
        <family val="1"/>
        <charset val="128"/>
      </rPr>
      <t>N・m</t>
    </r>
    <phoneticPr fontId="12"/>
  </si>
  <si>
    <t>× 1000 × 100　＝</t>
    <phoneticPr fontId="12"/>
  </si>
  <si>
    <t>× 1000 × 100　 ＝</t>
    <phoneticPr fontId="12"/>
  </si>
  <si>
    <t>×1000／100 ＝</t>
    <phoneticPr fontId="12"/>
  </si>
  <si>
    <t>コンクリート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</si>
  <si>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 xml:space="preserve">2 </t>
    </r>
    <phoneticPr fontId="12"/>
  </si>
  <si>
    <t>舗装の種別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</si>
  <si>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</si>
  <si>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t>部分にデーターを入力してください。</t>
    <rPh sb="0" eb="2">
      <t>ブブン</t>
    </rPh>
    <rPh sb="8" eb="10">
      <t>ニュウリョク</t>
    </rPh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</si>
  <si>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</si>
  <si>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</si>
  <si>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t>コンクリート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</si>
  <si>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</si>
  <si>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</si>
  <si>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r>
      <t>N／mm</t>
    </r>
    <r>
      <rPr>
        <vertAlign val="superscript"/>
        <sz val="11"/>
        <rFont val="ＭＳ 明朝"/>
        <family val="1"/>
        <charset val="128"/>
      </rPr>
      <t xml:space="preserve">2 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</si>
  <si>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</si>
  <si>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</si>
  <si>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t>単純床版の設計</t>
    <phoneticPr fontId="12"/>
  </si>
  <si>
    <t>単純床版の設計</t>
    <phoneticPr fontId="12"/>
  </si>
  <si>
    <t>計算は1.0ｍ当りで行います</t>
    <rPh sb="0" eb="2">
      <t>ケイサン</t>
    </rPh>
    <rPh sb="7" eb="8">
      <t>アタ</t>
    </rPh>
    <rPh sb="10" eb="11">
      <t>オコナ</t>
    </rPh>
    <phoneticPr fontId="12"/>
  </si>
  <si>
    <t>　　　Ｌ ： Ｔ荷重に対する床版の支間（m）</t>
    <phoneticPr fontId="12"/>
  </si>
  <si>
    <t>　　　Ｐ ： Ｔ荷重の片側荷重　（ 100 KN ）</t>
    <phoneticPr fontId="12"/>
  </si>
  <si>
    <t>合   計</t>
    <phoneticPr fontId="12"/>
  </si>
  <si>
    <r>
      <t>(24.5KN/m</t>
    </r>
    <r>
      <rPr>
        <vertAlign val="superscript"/>
        <sz val="10"/>
        <color indexed="8"/>
        <rFont val="ＭＳ 明朝"/>
        <family val="1"/>
        <charset val="128"/>
      </rPr>
      <t>3</t>
    </r>
    <r>
      <rPr>
        <sz val="10"/>
        <color indexed="8"/>
        <rFont val="ＭＳ 明朝"/>
        <family val="1"/>
        <charset val="128"/>
      </rPr>
      <t>）</t>
    </r>
    <phoneticPr fontId="12"/>
  </si>
  <si>
    <t>許容応力度</t>
    <phoneticPr fontId="12"/>
  </si>
  <si>
    <t>支　　間</t>
    <phoneticPr fontId="12"/>
  </si>
  <si>
    <t>幅　　員</t>
    <phoneticPr fontId="12"/>
  </si>
  <si>
    <t>舗　　装</t>
    <phoneticPr fontId="12"/>
  </si>
  <si>
    <t>荷　　重</t>
    <phoneticPr fontId="12"/>
  </si>
  <si>
    <t>m</t>
    <phoneticPr fontId="12"/>
  </si>
  <si>
    <t>３　断面および鉄筋量</t>
    <phoneticPr fontId="12"/>
  </si>
  <si>
    <t>スラブ厚</t>
    <phoneticPr fontId="12"/>
  </si>
  <si>
    <t>支間方向鉄筋量</t>
    <phoneticPr fontId="12"/>
  </si>
  <si>
    <t>支間直角方向鉄筋量</t>
    <phoneticPr fontId="12"/>
  </si>
  <si>
    <t>支間 4.0m 以下の場合に使用できます。</t>
    <rPh sb="14" eb="16">
      <t>シヨウ</t>
    </rPh>
    <phoneticPr fontId="12"/>
  </si>
  <si>
    <t>車両進行方向に平行</t>
    <rPh sb="7" eb="9">
      <t>ヘイコウ</t>
    </rPh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</si>
  <si>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>ｌｉ</t>
    </r>
    <r>
      <rPr>
        <sz val="11"/>
        <color indexed="8"/>
        <rFont val="ＭＳ 明朝"/>
        <family val="1"/>
        <charset val="128"/>
      </rPr>
      <t>＝0.80×（0.22Ｌ＋0.08）Ｐ（KN・ｍ）</t>
    </r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</si>
  <si>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＝0.80×（0.06Ｌ＋0.06）Ｐ</t>
    </r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</si>
  <si>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 xml:space="preserve">２ </t>
    </r>
    <r>
      <rPr>
        <sz val="11"/>
        <color indexed="8"/>
        <rFont val="ＭＳ 明朝"/>
        <family val="1"/>
        <charset val="128"/>
      </rPr>
      <t>＝ 0.80 ×（0.06Ｌ＋0.06）Ｐ</t>
    </r>
    <phoneticPr fontId="12"/>
  </si>
  <si>
    <t>編集にはシートの保護解除が必要HB</t>
    <rPh sb="0" eb="2">
      <t>ヘンシュウ</t>
    </rPh>
    <rPh sb="8" eb="10">
      <t>ホゴ</t>
    </rPh>
    <rPh sb="10" eb="12">
      <t>カイジョ</t>
    </rPh>
    <rPh sb="13" eb="15">
      <t>ヒツヨウ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</si>
</sst>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[Red]General"/>
    <numFmt numFmtId="177" formatCode="0.000"/>
    <numFmt numFmtId="178" formatCode="&quot;＝ &quot;0.00"/>
    <numFmt numFmtId="179" formatCode="0.00&quot;　×&quot;"/>
    <numFmt numFmtId="180" formatCode="0.000&quot;＋&quot;"/>
    <numFmt numFmtId="181" formatCode="0.00000"/>
    <numFmt numFmtId="182" formatCode="0&quot; を&quot;"/>
    <numFmt numFmtId="183" formatCode="&quot;&quot;"/>
    <numFmt numFmtId="184" formatCode="0.0000"/>
    <numFmt numFmtId="185" formatCode="&quot;× &quot;0&quot;）＝&quot;"/>
    <numFmt numFmtId="186" formatCode="&quot;× &quot;0"/>
    <numFmt numFmtId="187" formatCode="0.0&quot; Cm&quot;"/>
    <numFmt numFmtId="188" formatCode="#,##0.000"/>
    <numFmt numFmtId="189" formatCode="#,##0.000_ "/>
    <numFmt numFmtId="190" formatCode="#,##0_);[Red]\(#,##0\)"/>
    <numFmt numFmtId="191" formatCode="#,##0.0_);[Red]\(#,##0.0\)"/>
    <numFmt numFmtId="192" formatCode="#,##0.0"/>
    <numFmt numFmtId="193" formatCode="#,##0.0_ "/>
    <numFmt numFmtId="194" formatCode="0.0_);[Red]\(0.0\)"/>
    <numFmt numFmtId="195" formatCode="0_ 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33"/>
      <name val="ＭＳ 明朝"/>
      <family val="1"/>
      <charset val="128"/>
    </font>
    <font>
      <vertAlign val="superscript"/>
      <sz val="11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indexed="14"/>
      <name val="ＭＳ 明朝"/>
      <family val="1"/>
      <charset val="128"/>
    </font>
    <font>
      <vertAlign val="superscript"/>
      <sz val="10"/>
      <color indexed="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176" fontId="3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178" fontId="2" fillId="0" borderId="0" xfId="0" applyNumberFormat="1" applyFont="1" applyAlignment="1">
      <alignment horizontal="distributed"/>
    </xf>
    <xf numFmtId="179" fontId="2" fillId="0" borderId="0" xfId="0" applyNumberFormat="1" applyFont="1" applyAlignment="1">
      <alignment horizontal="distributed"/>
    </xf>
    <xf numFmtId="0" fontId="2" fillId="0" borderId="0" xfId="0" applyFont="1" applyAlignment="1">
      <alignment horizontal="distributed"/>
    </xf>
    <xf numFmtId="17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Continuous"/>
    </xf>
    <xf numFmtId="179" fontId="2" fillId="0" borderId="0" xfId="0" applyNumberFormat="1" applyFont="1"/>
    <xf numFmtId="0" fontId="7" fillId="0" borderId="0" xfId="0" applyFont="1" applyProtection="1">
      <protection locked="0"/>
    </xf>
    <xf numFmtId="177" fontId="2" fillId="0" borderId="0" xfId="0" applyNumberFormat="1" applyFont="1" applyAlignment="1">
      <alignment horizontal="left"/>
    </xf>
    <xf numFmtId="177" fontId="2" fillId="0" borderId="0" xfId="0" applyNumberFormat="1" applyFont="1"/>
    <xf numFmtId="18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81" fontId="2" fillId="0" borderId="0" xfId="0" applyNumberFormat="1" applyFont="1" applyAlignment="1">
      <alignment horizontal="left"/>
    </xf>
    <xf numFmtId="181" fontId="2" fillId="0" borderId="0" xfId="0" applyNumberFormat="1" applyFont="1"/>
    <xf numFmtId="176" fontId="3" fillId="0" borderId="0" xfId="0" applyNumberFormat="1" applyFont="1"/>
    <xf numFmtId="181" fontId="2" fillId="0" borderId="0" xfId="0" applyNumberFormat="1" applyFont="1" applyAlignment="1">
      <alignment horizontal="center"/>
    </xf>
    <xf numFmtId="2" fontId="2" fillId="0" borderId="0" xfId="0" applyNumberFormat="1" applyFont="1"/>
    <xf numFmtId="184" fontId="2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Protection="1">
      <protection locked="0"/>
    </xf>
    <xf numFmtId="186" fontId="2" fillId="0" borderId="0" xfId="0" applyNumberFormat="1" applyFont="1" applyAlignment="1" applyProtection="1">
      <alignment horizontal="center"/>
      <protection locked="0"/>
    </xf>
    <xf numFmtId="185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184" fontId="3" fillId="0" borderId="1" xfId="0" applyNumberFormat="1" applyFont="1" applyBorder="1" applyAlignment="1" applyProtection="1">
      <alignment horizontal="right"/>
      <protection locked="0"/>
    </xf>
    <xf numFmtId="177" fontId="3" fillId="0" borderId="1" xfId="0" applyNumberFormat="1" applyFont="1" applyBorder="1" applyAlignment="1" applyProtection="1">
      <alignment horizontal="right"/>
      <protection locked="0"/>
    </xf>
    <xf numFmtId="3" fontId="3" fillId="0" borderId="2" xfId="0" applyNumberFormat="1" applyFont="1" applyBorder="1" applyProtection="1"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Protection="1">
      <protection locked="0"/>
    </xf>
    <xf numFmtId="187" fontId="2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83" fontId="10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0" fontId="11" fillId="0" borderId="0" xfId="0" applyFont="1"/>
    <xf numFmtId="3" fontId="2" fillId="0" borderId="0" xfId="0" applyNumberFormat="1" applyFont="1" applyAlignment="1">
      <alignment horizontal="right"/>
    </xf>
    <xf numFmtId="0" fontId="13" fillId="0" borderId="0" xfId="0" applyFont="1"/>
    <xf numFmtId="188" fontId="2" fillId="0" borderId="0" xfId="0" applyNumberFormat="1" applyFont="1"/>
    <xf numFmtId="188" fontId="2" fillId="0" borderId="0" xfId="0" applyNumberFormat="1" applyFont="1" applyAlignment="1">
      <alignment horizontal="center"/>
    </xf>
    <xf numFmtId="188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center"/>
    </xf>
    <xf numFmtId="190" fontId="2" fillId="0" borderId="0" xfId="0" applyNumberFormat="1" applyFont="1"/>
    <xf numFmtId="0" fontId="3" fillId="0" borderId="0" xfId="0" applyFont="1" applyAlignment="1">
      <alignment horizontal="right"/>
    </xf>
    <xf numFmtId="191" fontId="2" fillId="0" borderId="0" xfId="0" applyNumberFormat="1" applyFont="1" applyAlignment="1">
      <alignment horizontal="center"/>
    </xf>
    <xf numFmtId="192" fontId="2" fillId="0" borderId="0" xfId="0" applyNumberFormat="1" applyFont="1" applyAlignment="1">
      <alignment horizontal="center"/>
    </xf>
    <xf numFmtId="193" fontId="2" fillId="0" borderId="0" xfId="0" applyNumberFormat="1" applyFont="1"/>
    <xf numFmtId="194" fontId="2" fillId="0" borderId="0" xfId="0" applyNumberFormat="1" applyFont="1" applyAlignment="1">
      <alignment horizontal="center"/>
    </xf>
    <xf numFmtId="190" fontId="4" fillId="0" borderId="0" xfId="0" applyNumberFormat="1" applyFont="1" applyProtection="1">
      <protection locked="0"/>
    </xf>
    <xf numFmtId="190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distributed" justifyLastLine="1"/>
    </xf>
    <xf numFmtId="0" fontId="2" fillId="0" borderId="0" xfId="0" applyFont="1" applyAlignment="1">
      <alignment horizontal="center" shrinkToFit="1"/>
    </xf>
    <xf numFmtId="0" fontId="14" fillId="0" borderId="0" xfId="0" applyFont="1" applyAlignment="1">
      <alignment shrinkToFit="1"/>
    </xf>
    <xf numFmtId="0" fontId="14" fillId="0" borderId="0" xfId="0" applyFont="1" applyAlignment="1">
      <alignment horizontal="distributed"/>
    </xf>
    <xf numFmtId="0" fontId="1" fillId="0" borderId="0" xfId="0" applyFont="1"/>
    <xf numFmtId="177" fontId="4" fillId="2" borderId="0" xfId="0" applyNumberFormat="1" applyFont="1" applyFill="1" applyProtection="1">
      <protection locked="0"/>
    </xf>
    <xf numFmtId="1" fontId="4" fillId="2" borderId="0" xfId="0" applyNumberFormat="1" applyFont="1" applyFill="1" applyProtection="1">
      <protection locked="0"/>
    </xf>
    <xf numFmtId="195" fontId="4" fillId="2" borderId="0" xfId="0" applyNumberFormat="1" applyFont="1" applyFill="1"/>
    <xf numFmtId="0" fontId="1" fillId="2" borderId="0" xfId="0" applyFont="1" applyFill="1"/>
    <xf numFmtId="1" fontId="4" fillId="2" borderId="0" xfId="0" applyNumberFormat="1" applyFont="1" applyFill="1" applyAlignment="1" applyProtection="1">
      <alignment horizontal="center"/>
      <protection locked="0"/>
    </xf>
    <xf numFmtId="187" fontId="4" fillId="2" borderId="0" xfId="0" applyNumberFormat="1" applyFont="1" applyFill="1" applyAlignment="1" applyProtection="1">
      <alignment horizontal="center"/>
      <protection locked="0"/>
    </xf>
    <xf numFmtId="182" fontId="4" fillId="2" borderId="0" xfId="0" applyNumberFormat="1" applyFont="1" applyFill="1" applyAlignment="1" applyProtection="1">
      <alignment horizontal="center"/>
      <protection locked="0"/>
    </xf>
    <xf numFmtId="2" fontId="4" fillId="2" borderId="0" xfId="0" applyNumberFormat="1" applyFont="1" applyFill="1" applyAlignment="1" applyProtection="1">
      <alignment horizontal="center"/>
      <protection locked="0"/>
    </xf>
    <xf numFmtId="0" fontId="16" fillId="0" borderId="0" xfId="0" applyFont="1"/>
    <xf numFmtId="195" fontId="4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6" fontId="1" fillId="0" borderId="0" xfId="0" applyNumberFormat="1" applyFont="1"/>
    <xf numFmtId="177" fontId="1" fillId="0" borderId="0" xfId="0" applyNumberFormat="1" applyFont="1"/>
    <xf numFmtId="1" fontId="1" fillId="0" borderId="0" xfId="0" applyNumberFormat="1" applyFont="1"/>
    <xf numFmtId="1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 shrinkToFit="1"/>
    </xf>
    <xf numFmtId="195" fontId="1" fillId="0" borderId="0" xfId="0" applyNumberFormat="1" applyFont="1"/>
    <xf numFmtId="190" fontId="4" fillId="0" borderId="0" xfId="0" applyNumberFormat="1" applyFont="1"/>
    <xf numFmtId="190" fontId="14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4" fontId="14" fillId="0" borderId="0" xfId="0" applyNumberFormat="1" applyFont="1"/>
    <xf numFmtId="4" fontId="1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4" fillId="0" borderId="0" xfId="0" applyNumberFormat="1" applyFont="1" applyAlignment="1">
      <alignment horizontal="left"/>
    </xf>
    <xf numFmtId="0" fontId="7" fillId="0" borderId="0" xfId="0" applyFont="1"/>
    <xf numFmtId="187" fontId="4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right"/>
    </xf>
    <xf numFmtId="0" fontId="2" fillId="0" borderId="0" xfId="0" applyFont="1" applyAlignment="1">
      <alignment horizontal="distributed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73</xdr:row>
      <xdr:rowOff>0</xdr:rowOff>
    </xdr:from>
    <xdr:to>
      <xdr:col>5</xdr:col>
      <xdr:colOff>571500</xdr:colOff>
      <xdr:row>73</xdr:row>
      <xdr:rowOff>152400</xdr:rowOff>
    </xdr:to>
    <xdr:sp macro="" textlink="">
      <xdr:nvSpPr>
        <xdr:cNvPr id="1025" name="図形 1">
          <a:extLst>
            <a:ext uri="{FF2B5EF4-FFF2-40B4-BE49-F238E27FC236}">
              <a16:creationId xmlns:a16="http://schemas.microsoft.com/office/drawing/2014/main" id="{6550D130-6EE1-DAA1-795D-F8A069CBB1E5}"/>
            </a:ext>
          </a:extLst>
        </xdr:cNvPr>
        <xdr:cNvSpPr>
          <a:spLocks/>
        </xdr:cNvSpPr>
      </xdr:nvSpPr>
      <xdr:spPr bwMode="auto">
        <a:xfrm>
          <a:off x="3276600" y="12715875"/>
          <a:ext cx="847725" cy="152400"/>
        </a:xfrm>
        <a:custGeom>
          <a:avLst/>
          <a:gdLst>
            <a:gd name="T0" fmla="*/ 0 w 16384"/>
            <a:gd name="T1" fmla="*/ 12935 h 16384"/>
            <a:gd name="T2" fmla="*/ 293 w 16384"/>
            <a:gd name="T3" fmla="*/ 10348 h 16384"/>
            <a:gd name="T4" fmla="*/ 731 w 16384"/>
            <a:gd name="T5" fmla="*/ 16384 h 16384"/>
            <a:gd name="T6" fmla="*/ 1463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2935"/>
              </a:moveTo>
              <a:lnTo>
                <a:pt x="293" y="10348"/>
              </a:lnTo>
              <a:lnTo>
                <a:pt x="731" y="16384"/>
              </a:lnTo>
              <a:lnTo>
                <a:pt x="1463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95250</xdr:colOff>
      <xdr:row>76</xdr:row>
      <xdr:rowOff>0</xdr:rowOff>
    </xdr:from>
    <xdr:to>
      <xdr:col>7</xdr:col>
      <xdr:colOff>38100</xdr:colOff>
      <xdr:row>76</xdr:row>
      <xdr:rowOff>161925</xdr:rowOff>
    </xdr:to>
    <xdr:sp macro="" textlink="">
      <xdr:nvSpPr>
        <xdr:cNvPr id="1026" name="図形 2">
          <a:extLst>
            <a:ext uri="{FF2B5EF4-FFF2-40B4-BE49-F238E27FC236}">
              <a16:creationId xmlns:a16="http://schemas.microsoft.com/office/drawing/2014/main" id="{85BF0FA2-9D0C-0E76-C21F-CC6CB0A97560}"/>
            </a:ext>
          </a:extLst>
        </xdr:cNvPr>
        <xdr:cNvSpPr>
          <a:spLocks/>
        </xdr:cNvSpPr>
      </xdr:nvSpPr>
      <xdr:spPr bwMode="auto">
        <a:xfrm>
          <a:off x="3648075" y="13230225"/>
          <a:ext cx="1543050" cy="161925"/>
        </a:xfrm>
        <a:custGeom>
          <a:avLst/>
          <a:gdLst>
            <a:gd name="T0" fmla="*/ 0 w 16384"/>
            <a:gd name="T1" fmla="*/ 14824 h 16384"/>
            <a:gd name="T2" fmla="*/ 152 w 16384"/>
            <a:gd name="T3" fmla="*/ 11703 h 16384"/>
            <a:gd name="T4" fmla="*/ 455 w 16384"/>
            <a:gd name="T5" fmla="*/ 16384 h 16384"/>
            <a:gd name="T6" fmla="*/ 910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4824"/>
              </a:moveTo>
              <a:lnTo>
                <a:pt x="152" y="11703"/>
              </a:lnTo>
              <a:lnTo>
                <a:pt x="455" y="16384"/>
              </a:lnTo>
              <a:lnTo>
                <a:pt x="910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561975</xdr:colOff>
      <xdr:row>80</xdr:row>
      <xdr:rowOff>152400</xdr:rowOff>
    </xdr:from>
    <xdr:to>
      <xdr:col>5</xdr:col>
      <xdr:colOff>581025</xdr:colOff>
      <xdr:row>81</xdr:row>
      <xdr:rowOff>142875</xdr:rowOff>
    </xdr:to>
    <xdr:sp macro="" textlink="">
      <xdr:nvSpPr>
        <xdr:cNvPr id="1027" name="図形 3">
          <a:extLst>
            <a:ext uri="{FF2B5EF4-FFF2-40B4-BE49-F238E27FC236}">
              <a16:creationId xmlns:a16="http://schemas.microsoft.com/office/drawing/2014/main" id="{D3565509-7CAA-07CB-F61A-2FD4AB670FAB}"/>
            </a:ext>
          </a:extLst>
        </xdr:cNvPr>
        <xdr:cNvSpPr>
          <a:spLocks/>
        </xdr:cNvSpPr>
      </xdr:nvSpPr>
      <xdr:spPr bwMode="auto">
        <a:xfrm>
          <a:off x="3314700" y="14068425"/>
          <a:ext cx="819150" cy="161925"/>
        </a:xfrm>
        <a:custGeom>
          <a:avLst/>
          <a:gdLst>
            <a:gd name="T0" fmla="*/ 0 w 16384"/>
            <a:gd name="T1" fmla="*/ 14043 h 16384"/>
            <a:gd name="T2" fmla="*/ 318 w 16384"/>
            <a:gd name="T3" fmla="*/ 11703 h 16384"/>
            <a:gd name="T4" fmla="*/ 795 w 16384"/>
            <a:gd name="T5" fmla="*/ 16384 h 16384"/>
            <a:gd name="T6" fmla="*/ 1909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4043"/>
              </a:moveTo>
              <a:lnTo>
                <a:pt x="318" y="11703"/>
              </a:lnTo>
              <a:lnTo>
                <a:pt x="795" y="16384"/>
              </a:lnTo>
              <a:lnTo>
                <a:pt x="1909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752475</xdr:colOff>
      <xdr:row>83</xdr:row>
      <xdr:rowOff>133350</xdr:rowOff>
    </xdr:from>
    <xdr:to>
      <xdr:col>7</xdr:col>
      <xdr:colOff>466725</xdr:colOff>
      <xdr:row>84</xdr:row>
      <xdr:rowOff>161925</xdr:rowOff>
    </xdr:to>
    <xdr:sp macro="" textlink="">
      <xdr:nvSpPr>
        <xdr:cNvPr id="1028" name="図形 4">
          <a:extLst>
            <a:ext uri="{FF2B5EF4-FFF2-40B4-BE49-F238E27FC236}">
              <a16:creationId xmlns:a16="http://schemas.microsoft.com/office/drawing/2014/main" id="{F5CD5C5A-A475-16E1-227B-E4953AC24277}"/>
            </a:ext>
          </a:extLst>
        </xdr:cNvPr>
        <xdr:cNvSpPr>
          <a:spLocks/>
        </xdr:cNvSpPr>
      </xdr:nvSpPr>
      <xdr:spPr bwMode="auto">
        <a:xfrm>
          <a:off x="3505200" y="14563725"/>
          <a:ext cx="2114550" cy="200025"/>
        </a:xfrm>
        <a:custGeom>
          <a:avLst/>
          <a:gdLst>
            <a:gd name="T0" fmla="*/ 0 w 16384"/>
            <a:gd name="T1" fmla="*/ 15604 h 16384"/>
            <a:gd name="T2" fmla="*/ 148 w 16384"/>
            <a:gd name="T3" fmla="*/ 11703 h 16384"/>
            <a:gd name="T4" fmla="*/ 369 w 16384"/>
            <a:gd name="T5" fmla="*/ 16384 h 16384"/>
            <a:gd name="T6" fmla="*/ 959 w 16384"/>
            <a:gd name="T7" fmla="*/ 0 h 16384"/>
            <a:gd name="T8" fmla="*/ 16384 w 16384"/>
            <a:gd name="T9" fmla="*/ 0 h 16384"/>
            <a:gd name="T10" fmla="*/ 16310 w 16384"/>
            <a:gd name="T11" fmla="*/ 78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0" y="15604"/>
              </a:moveTo>
              <a:lnTo>
                <a:pt x="148" y="11703"/>
              </a:lnTo>
              <a:lnTo>
                <a:pt x="369" y="16384"/>
              </a:lnTo>
              <a:lnTo>
                <a:pt x="959" y="0"/>
              </a:lnTo>
              <a:lnTo>
                <a:pt x="16384" y="0"/>
              </a:lnTo>
              <a:lnTo>
                <a:pt x="16310" y="78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695325</xdr:colOff>
      <xdr:row>95</xdr:row>
      <xdr:rowOff>142875</xdr:rowOff>
    </xdr:from>
    <xdr:to>
      <xdr:col>7</xdr:col>
      <xdr:colOff>390525</xdr:colOff>
      <xdr:row>96</xdr:row>
      <xdr:rowOff>152400</xdr:rowOff>
    </xdr:to>
    <xdr:sp macro="" textlink="">
      <xdr:nvSpPr>
        <xdr:cNvPr id="1029" name="図形 5">
          <a:extLst>
            <a:ext uri="{FF2B5EF4-FFF2-40B4-BE49-F238E27FC236}">
              <a16:creationId xmlns:a16="http://schemas.microsoft.com/office/drawing/2014/main" id="{DBD57EB8-811E-4E7A-52D9-BDAECA526749}"/>
            </a:ext>
          </a:extLst>
        </xdr:cNvPr>
        <xdr:cNvSpPr>
          <a:spLocks/>
        </xdr:cNvSpPr>
      </xdr:nvSpPr>
      <xdr:spPr bwMode="auto">
        <a:xfrm>
          <a:off x="3448050" y="16459200"/>
          <a:ext cx="2095500" cy="180975"/>
        </a:xfrm>
        <a:custGeom>
          <a:avLst/>
          <a:gdLst>
            <a:gd name="T0" fmla="*/ 0 w 16384"/>
            <a:gd name="T1" fmla="*/ 12994 h 16384"/>
            <a:gd name="T2" fmla="*/ 156 w 16384"/>
            <a:gd name="T3" fmla="*/ 11864 h 16384"/>
            <a:gd name="T4" fmla="*/ 311 w 16384"/>
            <a:gd name="T5" fmla="*/ 16384 h 16384"/>
            <a:gd name="T6" fmla="*/ 830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2994"/>
              </a:moveTo>
              <a:lnTo>
                <a:pt x="156" y="11864"/>
              </a:lnTo>
              <a:lnTo>
                <a:pt x="311" y="16384"/>
              </a:lnTo>
              <a:lnTo>
                <a:pt x="830" y="0"/>
              </a:lnTo>
              <a:lnTo>
                <a:pt x="16384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466725</xdr:colOff>
      <xdr:row>92</xdr:row>
      <xdr:rowOff>161925</xdr:rowOff>
    </xdr:from>
    <xdr:to>
      <xdr:col>5</xdr:col>
      <xdr:colOff>485775</xdr:colOff>
      <xdr:row>93</xdr:row>
      <xdr:rowOff>161925</xdr:rowOff>
    </xdr:to>
    <xdr:sp macro="" textlink="">
      <xdr:nvSpPr>
        <xdr:cNvPr id="1031" name="図形 7">
          <a:extLst>
            <a:ext uri="{FF2B5EF4-FFF2-40B4-BE49-F238E27FC236}">
              <a16:creationId xmlns:a16="http://schemas.microsoft.com/office/drawing/2014/main" id="{D0A4A086-7F59-1C6D-7917-457FE45AE49F}"/>
            </a:ext>
          </a:extLst>
        </xdr:cNvPr>
        <xdr:cNvSpPr>
          <a:spLocks/>
        </xdr:cNvSpPr>
      </xdr:nvSpPr>
      <xdr:spPr bwMode="auto">
        <a:xfrm>
          <a:off x="3219450" y="15963900"/>
          <a:ext cx="819150" cy="171450"/>
        </a:xfrm>
        <a:custGeom>
          <a:avLst/>
          <a:gdLst>
            <a:gd name="T0" fmla="*/ 0 w 16384"/>
            <a:gd name="T1" fmla="*/ 12873 h 16384"/>
            <a:gd name="T2" fmla="*/ 106 w 16384"/>
            <a:gd name="T3" fmla="*/ 11118 h 16384"/>
            <a:gd name="T4" fmla="*/ 423 w 16384"/>
            <a:gd name="T5" fmla="*/ 16384 h 16384"/>
            <a:gd name="T6" fmla="*/ 1268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2873"/>
              </a:moveTo>
              <a:lnTo>
                <a:pt x="106" y="11118"/>
              </a:lnTo>
              <a:lnTo>
                <a:pt x="423" y="16384"/>
              </a:lnTo>
              <a:lnTo>
                <a:pt x="1268" y="0"/>
              </a:lnTo>
              <a:lnTo>
                <a:pt x="16384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609600</xdr:colOff>
      <xdr:row>41</xdr:row>
      <xdr:rowOff>114300</xdr:rowOff>
    </xdr:from>
    <xdr:to>
      <xdr:col>8</xdr:col>
      <xdr:colOff>457200</xdr:colOff>
      <xdr:row>43</xdr:row>
      <xdr:rowOff>152400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1DB738FF-8EA4-A023-7851-88CD543F927A}"/>
            </a:ext>
          </a:extLst>
        </xdr:cNvPr>
        <xdr:cNvSpPr txBox="1">
          <a:spLocks noChangeArrowheads="1"/>
        </xdr:cNvSpPr>
      </xdr:nvSpPr>
      <xdr:spPr bwMode="auto">
        <a:xfrm>
          <a:off x="4162425" y="7200900"/>
          <a:ext cx="22479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仮定スラブ厚を変えて試算し、最適な厚さにします。</a:t>
          </a:r>
        </a:p>
      </xdr:txBody>
    </xdr:sp>
    <xdr:clientData/>
  </xdr:twoCellAnchor>
  <xdr:twoCellAnchor>
    <xdr:from>
      <xdr:col>7</xdr:col>
      <xdr:colOff>247650</xdr:colOff>
      <xdr:row>70</xdr:row>
      <xdr:rowOff>38100</xdr:rowOff>
    </xdr:from>
    <xdr:to>
      <xdr:col>12</xdr:col>
      <xdr:colOff>323850</xdr:colOff>
      <xdr:row>76</xdr:row>
      <xdr:rowOff>9525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79F43361-1636-C36F-95FB-B6F4A7A8817C}"/>
            </a:ext>
          </a:extLst>
        </xdr:cNvPr>
        <xdr:cNvSpPr txBox="1">
          <a:spLocks noChangeArrowheads="1"/>
        </xdr:cNvSpPr>
      </xdr:nvSpPr>
      <xdr:spPr bwMode="auto">
        <a:xfrm>
          <a:off x="5400675" y="12239625"/>
          <a:ext cx="38481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かぶりを決め、全厚と有効厚のチェックをします。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多少の不足であれば鉄筋量とのバランスでＯＫになることもあります。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鉄筋量とセットで試算してください。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最終的には応力の点検で確認してください。</a:t>
          </a:r>
        </a:p>
      </xdr:txBody>
    </xdr:sp>
    <xdr:clientData/>
  </xdr:twoCellAnchor>
  <xdr:twoCellAnchor>
    <xdr:from>
      <xdr:col>7</xdr:col>
      <xdr:colOff>333375</xdr:colOff>
      <xdr:row>89</xdr:row>
      <xdr:rowOff>123825</xdr:rowOff>
    </xdr:from>
    <xdr:to>
      <xdr:col>11</xdr:col>
      <xdr:colOff>361950</xdr:colOff>
      <xdr:row>94</xdr:row>
      <xdr:rowOff>66675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FBA05BCF-C93E-87F1-7E53-480836FF9469}"/>
            </a:ext>
          </a:extLst>
        </xdr:cNvPr>
        <xdr:cNvSpPr txBox="1">
          <a:spLocks noChangeArrowheads="1"/>
        </xdr:cNvSpPr>
      </xdr:nvSpPr>
      <xdr:spPr bwMode="auto">
        <a:xfrm>
          <a:off x="5486400" y="15411450"/>
          <a:ext cx="311467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鉄筋量の試算をします。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多少の不足であればスラブ厚とのバランスでＯＫになることもあります。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最終的には応力の点検で確認してください。</a:t>
          </a:r>
        </a:p>
      </xdr:txBody>
    </xdr:sp>
    <xdr:clientData/>
  </xdr:twoCellAnchor>
  <xdr:twoCellAnchor>
    <xdr:from>
      <xdr:col>4</xdr:col>
      <xdr:colOff>609600</xdr:colOff>
      <xdr:row>54</xdr:row>
      <xdr:rowOff>104775</xdr:rowOff>
    </xdr:from>
    <xdr:to>
      <xdr:col>5</xdr:col>
      <xdr:colOff>47625</xdr:colOff>
      <xdr:row>55</xdr:row>
      <xdr:rowOff>95250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465EB819-48A4-FA2E-3B96-4E7D1FEBE5D6}"/>
            </a:ext>
          </a:extLst>
        </xdr:cNvPr>
        <xdr:cNvSpPr txBox="1">
          <a:spLocks noChangeArrowheads="1"/>
        </xdr:cNvSpPr>
      </xdr:nvSpPr>
      <xdr:spPr bwMode="auto">
        <a:xfrm>
          <a:off x="3362325" y="9534525"/>
          <a:ext cx="238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476250</xdr:colOff>
      <xdr:row>119</xdr:row>
      <xdr:rowOff>85725</xdr:rowOff>
    </xdr:from>
    <xdr:to>
      <xdr:col>7</xdr:col>
      <xdr:colOff>685800</xdr:colOff>
      <xdr:row>120</xdr:row>
      <xdr:rowOff>66675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6A0B8595-148A-5118-5C95-43D1916E437B}"/>
            </a:ext>
          </a:extLst>
        </xdr:cNvPr>
        <xdr:cNvSpPr txBox="1">
          <a:spLocks noChangeArrowheads="1"/>
        </xdr:cNvSpPr>
      </xdr:nvSpPr>
      <xdr:spPr bwMode="auto">
        <a:xfrm>
          <a:off x="5629275" y="20373975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590550</xdr:colOff>
      <xdr:row>138</xdr:row>
      <xdr:rowOff>66675</xdr:rowOff>
    </xdr:from>
    <xdr:to>
      <xdr:col>8</xdr:col>
      <xdr:colOff>0</xdr:colOff>
      <xdr:row>139</xdr:row>
      <xdr:rowOff>76200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52936BC2-E09C-7D37-C1BD-539FB6F2669D}"/>
            </a:ext>
          </a:extLst>
        </xdr:cNvPr>
        <xdr:cNvSpPr txBox="1">
          <a:spLocks noChangeArrowheads="1"/>
        </xdr:cNvSpPr>
      </xdr:nvSpPr>
      <xdr:spPr bwMode="auto">
        <a:xfrm>
          <a:off x="5743575" y="23698200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2</xdr:col>
      <xdr:colOff>400050</xdr:colOff>
      <xdr:row>21</xdr:row>
      <xdr:rowOff>47625</xdr:rowOff>
    </xdr:from>
    <xdr:to>
      <xdr:col>6</xdr:col>
      <xdr:colOff>295275</xdr:colOff>
      <xdr:row>22</xdr:row>
      <xdr:rowOff>161925</xdr:rowOff>
    </xdr:to>
    <xdr:sp macro="" textlink="">
      <xdr:nvSpPr>
        <xdr:cNvPr id="1077" name="Rectangle 53">
          <a:extLst>
            <a:ext uri="{FF2B5EF4-FFF2-40B4-BE49-F238E27FC236}">
              <a16:creationId xmlns:a16="http://schemas.microsoft.com/office/drawing/2014/main" id="{550E1F87-946F-C5E3-6C2D-8AB59A96B084}"/>
            </a:ext>
          </a:extLst>
        </xdr:cNvPr>
        <xdr:cNvSpPr>
          <a:spLocks noChangeArrowheads="1"/>
        </xdr:cNvSpPr>
      </xdr:nvSpPr>
      <xdr:spPr bwMode="auto">
        <a:xfrm>
          <a:off x="1552575" y="3705225"/>
          <a:ext cx="3095625" cy="28575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21</xdr:row>
      <xdr:rowOff>47625</xdr:rowOff>
    </xdr:from>
    <xdr:to>
      <xdr:col>6</xdr:col>
      <xdr:colOff>514350</xdr:colOff>
      <xdr:row>24</xdr:row>
      <xdr:rowOff>152400</xdr:rowOff>
    </xdr:to>
    <xdr:sp macro="" textlink="">
      <xdr:nvSpPr>
        <xdr:cNvPr id="1078" name="図形 12">
          <a:extLst>
            <a:ext uri="{FF2B5EF4-FFF2-40B4-BE49-F238E27FC236}">
              <a16:creationId xmlns:a16="http://schemas.microsoft.com/office/drawing/2014/main" id="{315E1EEB-B383-1A27-5921-98AC8D95920A}"/>
            </a:ext>
          </a:extLst>
        </xdr:cNvPr>
        <xdr:cNvSpPr>
          <a:spLocks/>
        </xdr:cNvSpPr>
      </xdr:nvSpPr>
      <xdr:spPr bwMode="auto">
        <a:xfrm>
          <a:off x="4410075" y="3705225"/>
          <a:ext cx="457200" cy="619125"/>
        </a:xfrm>
        <a:custGeom>
          <a:avLst/>
          <a:gdLst>
            <a:gd name="T0" fmla="*/ 0 w 16384"/>
            <a:gd name="T1" fmla="*/ 16384 h 16384"/>
            <a:gd name="T2" fmla="*/ 0 w 16384"/>
            <a:gd name="T3" fmla="*/ 8192 h 16384"/>
            <a:gd name="T4" fmla="*/ 10049 w 16384"/>
            <a:gd name="T5" fmla="*/ 8192 h 16384"/>
            <a:gd name="T6" fmla="*/ 10049 w 16384"/>
            <a:gd name="T7" fmla="*/ 0 h 16384"/>
            <a:gd name="T8" fmla="*/ 16384 w 16384"/>
            <a:gd name="T9" fmla="*/ 0 h 16384"/>
            <a:gd name="T10" fmla="*/ 16384 w 16384"/>
            <a:gd name="T11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8192"/>
              </a:lnTo>
              <a:lnTo>
                <a:pt x="10049" y="8192"/>
              </a:lnTo>
              <a:lnTo>
                <a:pt x="10049" y="0"/>
              </a:lnTo>
              <a:lnTo>
                <a:pt x="16384" y="0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21</xdr:row>
      <xdr:rowOff>66675</xdr:rowOff>
    </xdr:from>
    <xdr:to>
      <xdr:col>2</xdr:col>
      <xdr:colOff>619125</xdr:colOff>
      <xdr:row>24</xdr:row>
      <xdr:rowOff>161925</xdr:rowOff>
    </xdr:to>
    <xdr:sp macro="" textlink="">
      <xdr:nvSpPr>
        <xdr:cNvPr id="1079" name="図形 16">
          <a:extLst>
            <a:ext uri="{FF2B5EF4-FFF2-40B4-BE49-F238E27FC236}">
              <a16:creationId xmlns:a16="http://schemas.microsoft.com/office/drawing/2014/main" id="{A70F7F45-C23D-A1D8-9D0C-4106D4B27701}"/>
            </a:ext>
          </a:extLst>
        </xdr:cNvPr>
        <xdr:cNvSpPr>
          <a:spLocks/>
        </xdr:cNvSpPr>
      </xdr:nvSpPr>
      <xdr:spPr bwMode="auto">
        <a:xfrm>
          <a:off x="1333500" y="3724275"/>
          <a:ext cx="438150" cy="609600"/>
        </a:xfrm>
        <a:custGeom>
          <a:avLst/>
          <a:gdLst>
            <a:gd name="T0" fmla="*/ 16384 w 16384"/>
            <a:gd name="T1" fmla="*/ 16384 h 16384"/>
            <a:gd name="T2" fmla="*/ 16384 w 16384"/>
            <a:gd name="T3" fmla="*/ 7967 h 16384"/>
            <a:gd name="T4" fmla="*/ 7182 w 16384"/>
            <a:gd name="T5" fmla="*/ 7967 h 16384"/>
            <a:gd name="T6" fmla="*/ 7182 w 16384"/>
            <a:gd name="T7" fmla="*/ 0 h 16384"/>
            <a:gd name="T8" fmla="*/ 0 w 16384"/>
            <a:gd name="T9" fmla="*/ 0 h 16384"/>
            <a:gd name="T10" fmla="*/ 0 w 16384"/>
            <a:gd name="T11" fmla="*/ 1623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16384" y="16384"/>
              </a:moveTo>
              <a:lnTo>
                <a:pt x="16384" y="7967"/>
              </a:lnTo>
              <a:lnTo>
                <a:pt x="7182" y="7967"/>
              </a:lnTo>
              <a:lnTo>
                <a:pt x="7182" y="0"/>
              </a:lnTo>
              <a:lnTo>
                <a:pt x="0" y="0"/>
              </a:lnTo>
              <a:lnTo>
                <a:pt x="0" y="162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22</xdr:row>
      <xdr:rowOff>104775</xdr:rowOff>
    </xdr:from>
    <xdr:to>
      <xdr:col>2</xdr:col>
      <xdr:colOff>514350</xdr:colOff>
      <xdr:row>26</xdr:row>
      <xdr:rowOff>28575</xdr:rowOff>
    </xdr:to>
    <xdr:sp macro="" textlink="">
      <xdr:nvSpPr>
        <xdr:cNvPr id="1080" name="Line 56">
          <a:extLst>
            <a:ext uri="{FF2B5EF4-FFF2-40B4-BE49-F238E27FC236}">
              <a16:creationId xmlns:a16="http://schemas.microsoft.com/office/drawing/2014/main" id="{F8EBDD9F-2C4D-1209-B9A2-6ADA05321E6A}"/>
            </a:ext>
          </a:extLst>
        </xdr:cNvPr>
        <xdr:cNvSpPr>
          <a:spLocks noChangeShapeType="1"/>
        </xdr:cNvSpPr>
      </xdr:nvSpPr>
      <xdr:spPr bwMode="auto">
        <a:xfrm>
          <a:off x="1666875" y="393382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22</xdr:row>
      <xdr:rowOff>104775</xdr:rowOff>
    </xdr:from>
    <xdr:to>
      <xdr:col>6</xdr:col>
      <xdr:colOff>180975</xdr:colOff>
      <xdr:row>26</xdr:row>
      <xdr:rowOff>19050</xdr:rowOff>
    </xdr:to>
    <xdr:sp macro="" textlink="">
      <xdr:nvSpPr>
        <xdr:cNvPr id="1081" name="Line 57">
          <a:extLst>
            <a:ext uri="{FF2B5EF4-FFF2-40B4-BE49-F238E27FC236}">
              <a16:creationId xmlns:a16="http://schemas.microsoft.com/office/drawing/2014/main" id="{8AE06A77-AC45-8496-EA3F-1BEAC0BFAE0C}"/>
            </a:ext>
          </a:extLst>
        </xdr:cNvPr>
        <xdr:cNvSpPr>
          <a:spLocks noChangeShapeType="1"/>
        </xdr:cNvSpPr>
      </xdr:nvSpPr>
      <xdr:spPr bwMode="auto">
        <a:xfrm>
          <a:off x="4533900" y="3933825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25</xdr:row>
      <xdr:rowOff>180975</xdr:rowOff>
    </xdr:from>
    <xdr:to>
      <xdr:col>6</xdr:col>
      <xdr:colOff>180975</xdr:colOff>
      <xdr:row>25</xdr:row>
      <xdr:rowOff>180975</xdr:rowOff>
    </xdr:to>
    <xdr:sp macro="" textlink="">
      <xdr:nvSpPr>
        <xdr:cNvPr id="1082" name="Line 58">
          <a:extLst>
            <a:ext uri="{FF2B5EF4-FFF2-40B4-BE49-F238E27FC236}">
              <a16:creationId xmlns:a16="http://schemas.microsoft.com/office/drawing/2014/main" id="{F767913D-DA28-D981-C609-485198B047DE}"/>
            </a:ext>
          </a:extLst>
        </xdr:cNvPr>
        <xdr:cNvSpPr>
          <a:spLocks noChangeShapeType="1"/>
        </xdr:cNvSpPr>
      </xdr:nvSpPr>
      <xdr:spPr bwMode="auto">
        <a:xfrm>
          <a:off x="1666875" y="451485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21</xdr:row>
      <xdr:rowOff>104775</xdr:rowOff>
    </xdr:from>
    <xdr:to>
      <xdr:col>6</xdr:col>
      <xdr:colOff>295275</xdr:colOff>
      <xdr:row>21</xdr:row>
      <xdr:rowOff>104775</xdr:rowOff>
    </xdr:to>
    <xdr:sp macro="" textlink="">
      <xdr:nvSpPr>
        <xdr:cNvPr id="1083" name="Line 59">
          <a:extLst>
            <a:ext uri="{FF2B5EF4-FFF2-40B4-BE49-F238E27FC236}">
              <a16:creationId xmlns:a16="http://schemas.microsoft.com/office/drawing/2014/main" id="{D3601799-E7D6-9DF8-BA9F-4B5F299FA16B}"/>
            </a:ext>
          </a:extLst>
        </xdr:cNvPr>
        <xdr:cNvSpPr>
          <a:spLocks noChangeShapeType="1"/>
        </xdr:cNvSpPr>
      </xdr:nvSpPr>
      <xdr:spPr bwMode="auto">
        <a:xfrm>
          <a:off x="1552575" y="3762375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542925</xdr:colOff>
      <xdr:row>21</xdr:row>
      <xdr:rowOff>47625</xdr:rowOff>
    </xdr:from>
    <xdr:to>
      <xdr:col>7</xdr:col>
      <xdr:colOff>28575</xdr:colOff>
      <xdr:row>21</xdr:row>
      <xdr:rowOff>47625</xdr:rowOff>
    </xdr:to>
    <xdr:sp macro="" textlink="">
      <xdr:nvSpPr>
        <xdr:cNvPr id="1084" name="Line 60">
          <a:extLst>
            <a:ext uri="{FF2B5EF4-FFF2-40B4-BE49-F238E27FC236}">
              <a16:creationId xmlns:a16="http://schemas.microsoft.com/office/drawing/2014/main" id="{CED842B3-4180-891D-DB5C-1C3654143DD3}"/>
            </a:ext>
          </a:extLst>
        </xdr:cNvPr>
        <xdr:cNvSpPr>
          <a:spLocks noChangeShapeType="1"/>
        </xdr:cNvSpPr>
      </xdr:nvSpPr>
      <xdr:spPr bwMode="auto">
        <a:xfrm>
          <a:off x="4895850" y="370522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21</xdr:row>
      <xdr:rowOff>114300</xdr:rowOff>
    </xdr:from>
    <xdr:to>
      <xdr:col>7</xdr:col>
      <xdr:colOff>28575</xdr:colOff>
      <xdr:row>21</xdr:row>
      <xdr:rowOff>114300</xdr:rowOff>
    </xdr:to>
    <xdr:sp macro="" textlink="">
      <xdr:nvSpPr>
        <xdr:cNvPr id="1085" name="Line 61">
          <a:extLst>
            <a:ext uri="{FF2B5EF4-FFF2-40B4-BE49-F238E27FC236}">
              <a16:creationId xmlns:a16="http://schemas.microsoft.com/office/drawing/2014/main" id="{774F725F-A409-2659-8AD7-78B3650A2ACE}"/>
            </a:ext>
          </a:extLst>
        </xdr:cNvPr>
        <xdr:cNvSpPr>
          <a:spLocks noChangeShapeType="1"/>
        </xdr:cNvSpPr>
      </xdr:nvSpPr>
      <xdr:spPr bwMode="auto">
        <a:xfrm>
          <a:off x="4886325" y="37719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22</xdr:row>
      <xdr:rowOff>161925</xdr:rowOff>
    </xdr:from>
    <xdr:to>
      <xdr:col>7</xdr:col>
      <xdr:colOff>38100</xdr:colOff>
      <xdr:row>22</xdr:row>
      <xdr:rowOff>161925</xdr:rowOff>
    </xdr:to>
    <xdr:sp macro="" textlink="">
      <xdr:nvSpPr>
        <xdr:cNvPr id="1086" name="Line 62">
          <a:extLst>
            <a:ext uri="{FF2B5EF4-FFF2-40B4-BE49-F238E27FC236}">
              <a16:creationId xmlns:a16="http://schemas.microsoft.com/office/drawing/2014/main" id="{B6E25533-0A06-9B78-BBD2-41EAA46940B4}"/>
            </a:ext>
          </a:extLst>
        </xdr:cNvPr>
        <xdr:cNvSpPr>
          <a:spLocks noChangeShapeType="1"/>
        </xdr:cNvSpPr>
      </xdr:nvSpPr>
      <xdr:spPr bwMode="auto">
        <a:xfrm>
          <a:off x="4886325" y="39909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21</xdr:row>
      <xdr:rowOff>114300</xdr:rowOff>
    </xdr:from>
    <xdr:to>
      <xdr:col>6</xdr:col>
      <xdr:colOff>809625</xdr:colOff>
      <xdr:row>22</xdr:row>
      <xdr:rowOff>180975</xdr:rowOff>
    </xdr:to>
    <xdr:sp macro="" textlink="">
      <xdr:nvSpPr>
        <xdr:cNvPr id="1087" name="Line 63">
          <a:extLst>
            <a:ext uri="{FF2B5EF4-FFF2-40B4-BE49-F238E27FC236}">
              <a16:creationId xmlns:a16="http://schemas.microsoft.com/office/drawing/2014/main" id="{7805F87C-3005-1ADF-C721-9BC1DDD093B1}"/>
            </a:ext>
          </a:extLst>
        </xdr:cNvPr>
        <xdr:cNvSpPr>
          <a:spLocks noChangeShapeType="1"/>
        </xdr:cNvSpPr>
      </xdr:nvSpPr>
      <xdr:spPr bwMode="auto">
        <a:xfrm>
          <a:off x="5153025" y="37719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20</xdr:row>
      <xdr:rowOff>104775</xdr:rowOff>
    </xdr:from>
    <xdr:to>
      <xdr:col>6</xdr:col>
      <xdr:colOff>809625</xdr:colOff>
      <xdr:row>21</xdr:row>
      <xdr:rowOff>47625</xdr:rowOff>
    </xdr:to>
    <xdr:sp macro="" textlink="">
      <xdr:nvSpPr>
        <xdr:cNvPr id="1088" name="Line 64">
          <a:extLst>
            <a:ext uri="{FF2B5EF4-FFF2-40B4-BE49-F238E27FC236}">
              <a16:creationId xmlns:a16="http://schemas.microsoft.com/office/drawing/2014/main" id="{73C35DDB-3FFD-448B-EF6E-D5B598F372A1}"/>
            </a:ext>
          </a:extLst>
        </xdr:cNvPr>
        <xdr:cNvSpPr>
          <a:spLocks noChangeShapeType="1"/>
        </xdr:cNvSpPr>
      </xdr:nvSpPr>
      <xdr:spPr bwMode="auto">
        <a:xfrm>
          <a:off x="5153025" y="35909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638175</xdr:colOff>
      <xdr:row>21</xdr:row>
      <xdr:rowOff>47625</xdr:rowOff>
    </xdr:from>
    <xdr:to>
      <xdr:col>9</xdr:col>
      <xdr:colOff>219075</xdr:colOff>
      <xdr:row>21</xdr:row>
      <xdr:rowOff>47625</xdr:rowOff>
    </xdr:to>
    <xdr:sp macro="" textlink="">
      <xdr:nvSpPr>
        <xdr:cNvPr id="1089" name="Line 65">
          <a:extLst>
            <a:ext uri="{FF2B5EF4-FFF2-40B4-BE49-F238E27FC236}">
              <a16:creationId xmlns:a16="http://schemas.microsoft.com/office/drawing/2014/main" id="{C5879718-73A9-BD7A-0989-7267E07CE951}"/>
            </a:ext>
          </a:extLst>
        </xdr:cNvPr>
        <xdr:cNvSpPr>
          <a:spLocks noChangeShapeType="1"/>
        </xdr:cNvSpPr>
      </xdr:nvSpPr>
      <xdr:spPr bwMode="auto">
        <a:xfrm>
          <a:off x="5791200" y="3705225"/>
          <a:ext cx="1181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20</xdr:row>
      <xdr:rowOff>114300</xdr:rowOff>
    </xdr:from>
    <xdr:to>
      <xdr:col>9</xdr:col>
      <xdr:colOff>361950</xdr:colOff>
      <xdr:row>22</xdr:row>
      <xdr:rowOff>161925</xdr:rowOff>
    </xdr:to>
    <xdr:sp macro="" textlink="">
      <xdr:nvSpPr>
        <xdr:cNvPr id="1090" name="図形 34">
          <a:extLst>
            <a:ext uri="{FF2B5EF4-FFF2-40B4-BE49-F238E27FC236}">
              <a16:creationId xmlns:a16="http://schemas.microsoft.com/office/drawing/2014/main" id="{472C73CB-F64D-B84A-5F19-AAA5B0E202B8}"/>
            </a:ext>
          </a:extLst>
        </xdr:cNvPr>
        <xdr:cNvSpPr>
          <a:spLocks/>
        </xdr:cNvSpPr>
      </xdr:nvSpPr>
      <xdr:spPr bwMode="auto">
        <a:xfrm>
          <a:off x="5610225" y="3600450"/>
          <a:ext cx="1504950" cy="390525"/>
        </a:xfrm>
        <a:custGeom>
          <a:avLst/>
          <a:gdLst>
            <a:gd name="T0" fmla="*/ 0 w 16384"/>
            <a:gd name="T1" fmla="*/ 16384 h 16384"/>
            <a:gd name="T2" fmla="*/ 0 w 16384"/>
            <a:gd name="T3" fmla="*/ 0 h 16384"/>
            <a:gd name="T4" fmla="*/ 1792 w 16384"/>
            <a:gd name="T5" fmla="*/ 0 h 16384"/>
            <a:gd name="T6" fmla="*/ 1792 w 16384"/>
            <a:gd name="T7" fmla="*/ 7228 h 16384"/>
            <a:gd name="T8" fmla="*/ 14848 w 16384"/>
            <a:gd name="T9" fmla="*/ 7228 h 16384"/>
            <a:gd name="T10" fmla="*/ 14848 w 16384"/>
            <a:gd name="T11" fmla="*/ 0 h 16384"/>
            <a:gd name="T12" fmla="*/ 16384 w 16384"/>
            <a:gd name="T13" fmla="*/ 0 h 16384"/>
            <a:gd name="T14" fmla="*/ 16384 w 16384"/>
            <a:gd name="T15" fmla="*/ 16384 h 16384"/>
            <a:gd name="T16" fmla="*/ 0 w 16384"/>
            <a:gd name="T17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0"/>
              </a:lnTo>
              <a:lnTo>
                <a:pt x="1792" y="0"/>
              </a:lnTo>
              <a:lnTo>
                <a:pt x="1792" y="7228"/>
              </a:lnTo>
              <a:lnTo>
                <a:pt x="14848" y="7228"/>
              </a:lnTo>
              <a:lnTo>
                <a:pt x="14848" y="0"/>
              </a:lnTo>
              <a:lnTo>
                <a:pt x="16384" y="0"/>
              </a:lnTo>
              <a:lnTo>
                <a:pt x="16384" y="16384"/>
              </a:lnTo>
              <a:lnTo>
                <a:pt x="0" y="16384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619125</xdr:colOff>
      <xdr:row>18</xdr:row>
      <xdr:rowOff>142875</xdr:rowOff>
    </xdr:from>
    <xdr:to>
      <xdr:col>7</xdr:col>
      <xdr:colOff>619125</xdr:colOff>
      <xdr:row>20</xdr:row>
      <xdr:rowOff>76200</xdr:rowOff>
    </xdr:to>
    <xdr:sp macro="" textlink="">
      <xdr:nvSpPr>
        <xdr:cNvPr id="1091" name="Line 67">
          <a:extLst>
            <a:ext uri="{FF2B5EF4-FFF2-40B4-BE49-F238E27FC236}">
              <a16:creationId xmlns:a16="http://schemas.microsoft.com/office/drawing/2014/main" id="{94FB9AB4-B6D3-DC1A-4875-39AE78AF42B2}"/>
            </a:ext>
          </a:extLst>
        </xdr:cNvPr>
        <xdr:cNvSpPr>
          <a:spLocks noChangeShapeType="1"/>
        </xdr:cNvSpPr>
      </xdr:nvSpPr>
      <xdr:spPr bwMode="auto">
        <a:xfrm flipV="1">
          <a:off x="5772150" y="32861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18</xdr:row>
      <xdr:rowOff>123825</xdr:rowOff>
    </xdr:from>
    <xdr:to>
      <xdr:col>9</xdr:col>
      <xdr:colOff>219075</xdr:colOff>
      <xdr:row>20</xdr:row>
      <xdr:rowOff>85725</xdr:rowOff>
    </xdr:to>
    <xdr:sp macro="" textlink="">
      <xdr:nvSpPr>
        <xdr:cNvPr id="1092" name="Line 68">
          <a:extLst>
            <a:ext uri="{FF2B5EF4-FFF2-40B4-BE49-F238E27FC236}">
              <a16:creationId xmlns:a16="http://schemas.microsoft.com/office/drawing/2014/main" id="{BAE0DD5A-C0D0-64E4-0FF3-ED72FF378005}"/>
            </a:ext>
          </a:extLst>
        </xdr:cNvPr>
        <xdr:cNvSpPr>
          <a:spLocks noChangeShapeType="1"/>
        </xdr:cNvSpPr>
      </xdr:nvSpPr>
      <xdr:spPr bwMode="auto">
        <a:xfrm flipV="1">
          <a:off x="6972300" y="32670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19</xdr:row>
      <xdr:rowOff>9525</xdr:rowOff>
    </xdr:from>
    <xdr:to>
      <xdr:col>9</xdr:col>
      <xdr:colOff>219075</xdr:colOff>
      <xdr:row>19</xdr:row>
      <xdr:rowOff>9525</xdr:rowOff>
    </xdr:to>
    <xdr:sp macro="" textlink="">
      <xdr:nvSpPr>
        <xdr:cNvPr id="1093" name="Line 69">
          <a:extLst>
            <a:ext uri="{FF2B5EF4-FFF2-40B4-BE49-F238E27FC236}">
              <a16:creationId xmlns:a16="http://schemas.microsoft.com/office/drawing/2014/main" id="{DEAEE564-FA16-C241-C743-8636A1FCDC0B}"/>
            </a:ext>
          </a:extLst>
        </xdr:cNvPr>
        <xdr:cNvSpPr>
          <a:spLocks noChangeShapeType="1"/>
        </xdr:cNvSpPr>
      </xdr:nvSpPr>
      <xdr:spPr bwMode="auto">
        <a:xfrm>
          <a:off x="5772150" y="3324225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25</xdr:row>
      <xdr:rowOff>152401</xdr:rowOff>
    </xdr:from>
    <xdr:to>
      <xdr:col>4</xdr:col>
      <xdr:colOff>733426</xdr:colOff>
      <xdr:row>27</xdr:row>
      <xdr:rowOff>95251</xdr:rowOff>
    </xdr:to>
    <xdr:sp macro="" textlink="支間">
      <xdr:nvSpPr>
        <xdr:cNvPr id="2" name="テキスト ボックス 1">
          <a:extLst>
            <a:ext uri="{FF2B5EF4-FFF2-40B4-BE49-F238E27FC236}">
              <a16:creationId xmlns:a16="http://schemas.microsoft.com/office/drawing/2014/main" id="{77AFAA64-4C08-8DE9-DFB8-D3E81F5CF2D3}"/>
            </a:ext>
          </a:extLst>
        </xdr:cNvPr>
        <xdr:cNvSpPr txBox="1"/>
      </xdr:nvSpPr>
      <xdr:spPr>
        <a:xfrm flipH="1">
          <a:off x="2828925" y="4495801"/>
          <a:ext cx="6572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F14F2AF-3746-4FBA-9EF9-9A8F2492674C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2.100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528640</xdr:colOff>
      <xdr:row>19</xdr:row>
      <xdr:rowOff>166690</xdr:rowOff>
    </xdr:from>
    <xdr:to>
      <xdr:col>7</xdr:col>
      <xdr:colOff>14290</xdr:colOff>
      <xdr:row>21</xdr:row>
      <xdr:rowOff>100015</xdr:rowOff>
    </xdr:to>
    <xdr:sp macro="" textlink="舗装厚">
      <xdr:nvSpPr>
        <xdr:cNvPr id="32" name="テキスト ボックス 31">
          <a:extLst>
            <a:ext uri="{FF2B5EF4-FFF2-40B4-BE49-F238E27FC236}">
              <a16:creationId xmlns:a16="http://schemas.microsoft.com/office/drawing/2014/main" id="{E22DA601-8462-022E-902E-EB7B73DE7691}"/>
            </a:ext>
          </a:extLst>
        </xdr:cNvPr>
        <xdr:cNvSpPr txBox="1"/>
      </xdr:nvSpPr>
      <xdr:spPr>
        <a:xfrm rot="16200000" flipH="1">
          <a:off x="4886327" y="3476628"/>
          <a:ext cx="2762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457F050-69EA-45B8-81BB-35ECFC48DB50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5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776292</xdr:colOff>
      <xdr:row>20</xdr:row>
      <xdr:rowOff>119067</xdr:rowOff>
    </xdr:from>
    <xdr:to>
      <xdr:col>7</xdr:col>
      <xdr:colOff>261942</xdr:colOff>
      <xdr:row>22</xdr:row>
      <xdr:rowOff>52392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EB26602-3B19-91A7-5D0C-E083520C9A15}"/>
            </a:ext>
          </a:extLst>
        </xdr:cNvPr>
        <xdr:cNvSpPr txBox="1"/>
      </xdr:nvSpPr>
      <xdr:spPr>
        <a:xfrm rot="16200000" flipH="1">
          <a:off x="5133979" y="3600455"/>
          <a:ext cx="2762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chemeClr val="tx1"/>
              </a:solidFill>
              <a:latin typeface="ＭＳ 明朝"/>
              <a:ea typeface="ＭＳ 明朝"/>
            </a:rPr>
            <a:t>t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547694</xdr:colOff>
      <xdr:row>21</xdr:row>
      <xdr:rowOff>80969</xdr:rowOff>
    </xdr:from>
    <xdr:to>
      <xdr:col>7</xdr:col>
      <xdr:colOff>33344</xdr:colOff>
      <xdr:row>23</xdr:row>
      <xdr:rowOff>14294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857E34B-5DE9-D898-DA16-52E061310AFB}"/>
            </a:ext>
          </a:extLst>
        </xdr:cNvPr>
        <xdr:cNvSpPr txBox="1"/>
      </xdr:nvSpPr>
      <xdr:spPr>
        <a:xfrm rot="16200000" flipH="1">
          <a:off x="4905381" y="3733807"/>
          <a:ext cx="2762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chemeClr val="tx1"/>
              </a:solidFill>
              <a:latin typeface="ＭＳ 明朝"/>
              <a:ea typeface="ＭＳ 明朝"/>
            </a:rPr>
            <a:t>h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0</xdr:colOff>
      <xdr:row>22</xdr:row>
      <xdr:rowOff>66676</xdr:rowOff>
    </xdr:from>
    <xdr:to>
      <xdr:col>7</xdr:col>
      <xdr:colOff>285750</xdr:colOff>
      <xdr:row>24</xdr:row>
      <xdr:rowOff>104776</xdr:rowOff>
    </xdr:to>
    <xdr:sp macro="" textlink="H">
      <xdr:nvSpPr>
        <xdr:cNvPr id="35" name="テキスト ボックス 34">
          <a:extLst>
            <a:ext uri="{FF2B5EF4-FFF2-40B4-BE49-F238E27FC236}">
              <a16:creationId xmlns:a16="http://schemas.microsoft.com/office/drawing/2014/main" id="{90350D48-1F3B-E625-0325-641ABFEC8C9D}"/>
            </a:ext>
          </a:extLst>
        </xdr:cNvPr>
        <xdr:cNvSpPr txBox="1"/>
      </xdr:nvSpPr>
      <xdr:spPr>
        <a:xfrm rot="16200000" flipH="1">
          <a:off x="5105400" y="3943351"/>
          <a:ext cx="3810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769F0DB-956F-4D44-A34A-968F9322E96C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25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123825</xdr:colOff>
      <xdr:row>18</xdr:row>
      <xdr:rowOff>133351</xdr:rowOff>
    </xdr:from>
    <xdr:to>
      <xdr:col>8</xdr:col>
      <xdr:colOff>781051</xdr:colOff>
      <xdr:row>20</xdr:row>
      <xdr:rowOff>76201</xdr:rowOff>
    </xdr:to>
    <xdr:sp macro="" textlink="幅員">
      <xdr:nvSpPr>
        <xdr:cNvPr id="36" name="テキスト ボックス 35">
          <a:extLst>
            <a:ext uri="{FF2B5EF4-FFF2-40B4-BE49-F238E27FC236}">
              <a16:creationId xmlns:a16="http://schemas.microsoft.com/office/drawing/2014/main" id="{FA1A9121-9333-1A3F-233E-901CA9DC0C08}"/>
            </a:ext>
          </a:extLst>
        </xdr:cNvPr>
        <xdr:cNvSpPr txBox="1"/>
      </xdr:nvSpPr>
      <xdr:spPr>
        <a:xfrm flipH="1">
          <a:off x="6076950" y="3276601"/>
          <a:ext cx="6572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316BAC7-D8E7-4A67-9559-D96022A72659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2.000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795345</xdr:colOff>
      <xdr:row>21</xdr:row>
      <xdr:rowOff>123829</xdr:rowOff>
    </xdr:from>
    <xdr:to>
      <xdr:col>7</xdr:col>
      <xdr:colOff>295275</xdr:colOff>
      <xdr:row>23</xdr:row>
      <xdr:rowOff>123825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469780E-7373-28CC-BFFB-1BC827A08EE1}"/>
            </a:ext>
          </a:extLst>
        </xdr:cNvPr>
        <xdr:cNvSpPr txBox="1"/>
      </xdr:nvSpPr>
      <xdr:spPr>
        <a:xfrm rot="16200000" flipH="1">
          <a:off x="5126837" y="3802862"/>
          <a:ext cx="342896" cy="30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t>cm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507212</xdr:colOff>
      <xdr:row>25</xdr:row>
      <xdr:rowOff>135737</xdr:rowOff>
    </xdr:from>
    <xdr:to>
      <xdr:col>5</xdr:col>
      <xdr:colOff>50008</xdr:colOff>
      <xdr:row>27</xdr:row>
      <xdr:rowOff>92867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4B50965-37A9-9AAA-138E-0ADA9B775DA8}"/>
            </a:ext>
          </a:extLst>
        </xdr:cNvPr>
        <xdr:cNvSpPr txBox="1"/>
      </xdr:nvSpPr>
      <xdr:spPr>
        <a:xfrm flipH="1">
          <a:off x="3259937" y="4479137"/>
          <a:ext cx="342896" cy="30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t>m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516737</xdr:colOff>
      <xdr:row>18</xdr:row>
      <xdr:rowOff>126212</xdr:rowOff>
    </xdr:from>
    <xdr:to>
      <xdr:col>9</xdr:col>
      <xdr:colOff>59533</xdr:colOff>
      <xdr:row>20</xdr:row>
      <xdr:rowOff>83342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762EF0E-0878-FA50-4AA2-EF645D4C2423}"/>
            </a:ext>
          </a:extLst>
        </xdr:cNvPr>
        <xdr:cNvSpPr txBox="1"/>
      </xdr:nvSpPr>
      <xdr:spPr>
        <a:xfrm flipH="1">
          <a:off x="6469862" y="3269462"/>
          <a:ext cx="342896" cy="30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t>m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519120</xdr:colOff>
      <xdr:row>19</xdr:row>
      <xdr:rowOff>19054</xdr:rowOff>
    </xdr:from>
    <xdr:to>
      <xdr:col>7</xdr:col>
      <xdr:colOff>19050</xdr:colOff>
      <xdr:row>21</xdr:row>
      <xdr:rowOff>19050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6F15BA7-97BF-FFF5-D2FE-00EC87262128}"/>
            </a:ext>
          </a:extLst>
        </xdr:cNvPr>
        <xdr:cNvSpPr txBox="1"/>
      </xdr:nvSpPr>
      <xdr:spPr>
        <a:xfrm rot="16200000" flipH="1">
          <a:off x="4850612" y="3355187"/>
          <a:ext cx="342896" cy="30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t>cm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46</xdr:row>
      <xdr:rowOff>104775</xdr:rowOff>
    </xdr:from>
    <xdr:to>
      <xdr:col>5</xdr:col>
      <xdr:colOff>47625</xdr:colOff>
      <xdr:row>47</xdr:row>
      <xdr:rowOff>95250</xdr:rowOff>
    </xdr:to>
    <xdr:sp macro="" textlink="">
      <xdr:nvSpPr>
        <xdr:cNvPr id="4124" name="Text Box 28">
          <a:extLst>
            <a:ext uri="{FF2B5EF4-FFF2-40B4-BE49-F238E27FC236}">
              <a16:creationId xmlns:a16="http://schemas.microsoft.com/office/drawing/2014/main" id="{7BC85774-7DAC-AE6E-D8C0-EE86D5E2B157}"/>
            </a:ext>
          </a:extLst>
        </xdr:cNvPr>
        <xdr:cNvSpPr txBox="1">
          <a:spLocks noChangeArrowheads="1"/>
        </xdr:cNvSpPr>
      </xdr:nvSpPr>
      <xdr:spPr bwMode="auto">
        <a:xfrm>
          <a:off x="3362325" y="8067675"/>
          <a:ext cx="238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581025</xdr:colOff>
      <xdr:row>94</xdr:row>
      <xdr:rowOff>66675</xdr:rowOff>
    </xdr:from>
    <xdr:to>
      <xdr:col>7</xdr:col>
      <xdr:colOff>790575</xdr:colOff>
      <xdr:row>95</xdr:row>
      <xdr:rowOff>47625</xdr:rowOff>
    </xdr:to>
    <xdr:sp macro="" textlink="">
      <xdr:nvSpPr>
        <xdr:cNvPr id="4125" name="Text Box 29">
          <a:extLst>
            <a:ext uri="{FF2B5EF4-FFF2-40B4-BE49-F238E27FC236}">
              <a16:creationId xmlns:a16="http://schemas.microsoft.com/office/drawing/2014/main" id="{D8CFFE66-78E5-DAB2-E96E-645456B18E15}"/>
            </a:ext>
          </a:extLst>
        </xdr:cNvPr>
        <xdr:cNvSpPr txBox="1">
          <a:spLocks noChangeArrowheads="1"/>
        </xdr:cNvSpPr>
      </xdr:nvSpPr>
      <xdr:spPr bwMode="auto">
        <a:xfrm>
          <a:off x="5734050" y="16316325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619125</xdr:colOff>
      <xdr:row>115</xdr:row>
      <xdr:rowOff>85725</xdr:rowOff>
    </xdr:from>
    <xdr:to>
      <xdr:col>8</xdr:col>
      <xdr:colOff>28575</xdr:colOff>
      <xdr:row>116</xdr:row>
      <xdr:rowOff>95250</xdr:rowOff>
    </xdr:to>
    <xdr:sp macro="" textlink="">
      <xdr:nvSpPr>
        <xdr:cNvPr id="4126" name="Text Box 30">
          <a:extLst>
            <a:ext uri="{FF2B5EF4-FFF2-40B4-BE49-F238E27FC236}">
              <a16:creationId xmlns:a16="http://schemas.microsoft.com/office/drawing/2014/main" id="{2BD05CD2-6859-7466-B20E-C8F29D051D1B}"/>
            </a:ext>
          </a:extLst>
        </xdr:cNvPr>
        <xdr:cNvSpPr txBox="1">
          <a:spLocks noChangeArrowheads="1"/>
        </xdr:cNvSpPr>
      </xdr:nvSpPr>
      <xdr:spPr bwMode="auto">
        <a:xfrm>
          <a:off x="5772150" y="20021550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1</xdr:col>
      <xdr:colOff>400050</xdr:colOff>
      <xdr:row>15</xdr:row>
      <xdr:rowOff>47625</xdr:rowOff>
    </xdr:from>
    <xdr:to>
      <xdr:col>5</xdr:col>
      <xdr:colOff>295275</xdr:colOff>
      <xdr:row>16</xdr:row>
      <xdr:rowOff>161925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31FBC974-18DC-DD29-58F2-BFAB416BF24B}"/>
            </a:ext>
          </a:extLst>
        </xdr:cNvPr>
        <xdr:cNvSpPr>
          <a:spLocks noChangeArrowheads="1"/>
        </xdr:cNvSpPr>
      </xdr:nvSpPr>
      <xdr:spPr bwMode="auto">
        <a:xfrm>
          <a:off x="752475" y="2676525"/>
          <a:ext cx="3095625" cy="28575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57150</xdr:colOff>
      <xdr:row>15</xdr:row>
      <xdr:rowOff>47625</xdr:rowOff>
    </xdr:from>
    <xdr:to>
      <xdr:col>5</xdr:col>
      <xdr:colOff>514350</xdr:colOff>
      <xdr:row>18</xdr:row>
      <xdr:rowOff>152400</xdr:rowOff>
    </xdr:to>
    <xdr:sp macro="" textlink="">
      <xdr:nvSpPr>
        <xdr:cNvPr id="4130" name="図形 12">
          <a:extLst>
            <a:ext uri="{FF2B5EF4-FFF2-40B4-BE49-F238E27FC236}">
              <a16:creationId xmlns:a16="http://schemas.microsoft.com/office/drawing/2014/main" id="{9BFA725A-2DD4-3282-32EC-544CE6361E1F}"/>
            </a:ext>
          </a:extLst>
        </xdr:cNvPr>
        <xdr:cNvSpPr>
          <a:spLocks/>
        </xdr:cNvSpPr>
      </xdr:nvSpPr>
      <xdr:spPr bwMode="auto">
        <a:xfrm>
          <a:off x="3609975" y="2676525"/>
          <a:ext cx="457200" cy="619125"/>
        </a:xfrm>
        <a:custGeom>
          <a:avLst/>
          <a:gdLst>
            <a:gd name="T0" fmla="*/ 0 w 16384"/>
            <a:gd name="T1" fmla="*/ 16384 h 16384"/>
            <a:gd name="T2" fmla="*/ 0 w 16384"/>
            <a:gd name="T3" fmla="*/ 8192 h 16384"/>
            <a:gd name="T4" fmla="*/ 10049 w 16384"/>
            <a:gd name="T5" fmla="*/ 8192 h 16384"/>
            <a:gd name="T6" fmla="*/ 10049 w 16384"/>
            <a:gd name="T7" fmla="*/ 0 h 16384"/>
            <a:gd name="T8" fmla="*/ 16384 w 16384"/>
            <a:gd name="T9" fmla="*/ 0 h 16384"/>
            <a:gd name="T10" fmla="*/ 16384 w 16384"/>
            <a:gd name="T11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8192"/>
              </a:lnTo>
              <a:lnTo>
                <a:pt x="10049" y="8192"/>
              </a:lnTo>
              <a:lnTo>
                <a:pt x="10049" y="0"/>
              </a:lnTo>
              <a:lnTo>
                <a:pt x="16384" y="0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15</xdr:row>
      <xdr:rowOff>66675</xdr:rowOff>
    </xdr:from>
    <xdr:to>
      <xdr:col>1</xdr:col>
      <xdr:colOff>619125</xdr:colOff>
      <xdr:row>18</xdr:row>
      <xdr:rowOff>161925</xdr:rowOff>
    </xdr:to>
    <xdr:sp macro="" textlink="">
      <xdr:nvSpPr>
        <xdr:cNvPr id="4131" name="図形 16">
          <a:extLst>
            <a:ext uri="{FF2B5EF4-FFF2-40B4-BE49-F238E27FC236}">
              <a16:creationId xmlns:a16="http://schemas.microsoft.com/office/drawing/2014/main" id="{355925F7-A6CC-0970-95FB-210B0453C131}"/>
            </a:ext>
          </a:extLst>
        </xdr:cNvPr>
        <xdr:cNvSpPr>
          <a:spLocks/>
        </xdr:cNvSpPr>
      </xdr:nvSpPr>
      <xdr:spPr bwMode="auto">
        <a:xfrm>
          <a:off x="533400" y="2695575"/>
          <a:ext cx="438150" cy="609600"/>
        </a:xfrm>
        <a:custGeom>
          <a:avLst/>
          <a:gdLst>
            <a:gd name="T0" fmla="*/ 16384 w 16384"/>
            <a:gd name="T1" fmla="*/ 16384 h 16384"/>
            <a:gd name="T2" fmla="*/ 16384 w 16384"/>
            <a:gd name="T3" fmla="*/ 7967 h 16384"/>
            <a:gd name="T4" fmla="*/ 7182 w 16384"/>
            <a:gd name="T5" fmla="*/ 7967 h 16384"/>
            <a:gd name="T6" fmla="*/ 7182 w 16384"/>
            <a:gd name="T7" fmla="*/ 0 h 16384"/>
            <a:gd name="T8" fmla="*/ 0 w 16384"/>
            <a:gd name="T9" fmla="*/ 0 h 16384"/>
            <a:gd name="T10" fmla="*/ 0 w 16384"/>
            <a:gd name="T11" fmla="*/ 1623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16384" y="16384"/>
              </a:moveTo>
              <a:lnTo>
                <a:pt x="16384" y="7967"/>
              </a:lnTo>
              <a:lnTo>
                <a:pt x="7182" y="7967"/>
              </a:lnTo>
              <a:lnTo>
                <a:pt x="7182" y="0"/>
              </a:lnTo>
              <a:lnTo>
                <a:pt x="0" y="0"/>
              </a:lnTo>
              <a:lnTo>
                <a:pt x="0" y="162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16</xdr:row>
      <xdr:rowOff>104775</xdr:rowOff>
    </xdr:from>
    <xdr:to>
      <xdr:col>1</xdr:col>
      <xdr:colOff>514350</xdr:colOff>
      <xdr:row>20</xdr:row>
      <xdr:rowOff>28575</xdr:rowOff>
    </xdr:to>
    <xdr:sp macro="" textlink="">
      <xdr:nvSpPr>
        <xdr:cNvPr id="4132" name="Line 36">
          <a:extLst>
            <a:ext uri="{FF2B5EF4-FFF2-40B4-BE49-F238E27FC236}">
              <a16:creationId xmlns:a16="http://schemas.microsoft.com/office/drawing/2014/main" id="{BDE5A83D-6C79-DAFD-AC70-4D77E46E934D}"/>
            </a:ext>
          </a:extLst>
        </xdr:cNvPr>
        <xdr:cNvSpPr>
          <a:spLocks noChangeShapeType="1"/>
        </xdr:cNvSpPr>
      </xdr:nvSpPr>
      <xdr:spPr bwMode="auto">
        <a:xfrm>
          <a:off x="866775" y="290512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104775</xdr:rowOff>
    </xdr:from>
    <xdr:to>
      <xdr:col>5</xdr:col>
      <xdr:colOff>180975</xdr:colOff>
      <xdr:row>20</xdr:row>
      <xdr:rowOff>19050</xdr:rowOff>
    </xdr:to>
    <xdr:sp macro="" textlink="">
      <xdr:nvSpPr>
        <xdr:cNvPr id="4133" name="Line 37">
          <a:extLst>
            <a:ext uri="{FF2B5EF4-FFF2-40B4-BE49-F238E27FC236}">
              <a16:creationId xmlns:a16="http://schemas.microsoft.com/office/drawing/2014/main" id="{0F105849-618A-7749-77F1-2E327C6994FD}"/>
            </a:ext>
          </a:extLst>
        </xdr:cNvPr>
        <xdr:cNvSpPr>
          <a:spLocks noChangeShapeType="1"/>
        </xdr:cNvSpPr>
      </xdr:nvSpPr>
      <xdr:spPr bwMode="auto">
        <a:xfrm>
          <a:off x="3733800" y="2905125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514350</xdr:colOff>
      <xdr:row>19</xdr:row>
      <xdr:rowOff>180975</xdr:rowOff>
    </xdr:from>
    <xdr:to>
      <xdr:col>5</xdr:col>
      <xdr:colOff>180975</xdr:colOff>
      <xdr:row>19</xdr:row>
      <xdr:rowOff>180975</xdr:rowOff>
    </xdr:to>
    <xdr:sp macro="" textlink="">
      <xdr:nvSpPr>
        <xdr:cNvPr id="4134" name="Line 38">
          <a:extLst>
            <a:ext uri="{FF2B5EF4-FFF2-40B4-BE49-F238E27FC236}">
              <a16:creationId xmlns:a16="http://schemas.microsoft.com/office/drawing/2014/main" id="{7B166943-B194-4DD9-D374-25142F0F9F2D}"/>
            </a:ext>
          </a:extLst>
        </xdr:cNvPr>
        <xdr:cNvSpPr>
          <a:spLocks noChangeShapeType="1"/>
        </xdr:cNvSpPr>
      </xdr:nvSpPr>
      <xdr:spPr bwMode="auto">
        <a:xfrm>
          <a:off x="866775" y="348615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400050</xdr:colOff>
      <xdr:row>15</xdr:row>
      <xdr:rowOff>104775</xdr:rowOff>
    </xdr:from>
    <xdr:to>
      <xdr:col>5</xdr:col>
      <xdr:colOff>295275</xdr:colOff>
      <xdr:row>15</xdr:row>
      <xdr:rowOff>104775</xdr:rowOff>
    </xdr:to>
    <xdr:sp macro="" textlink="">
      <xdr:nvSpPr>
        <xdr:cNvPr id="4135" name="Line 39">
          <a:extLst>
            <a:ext uri="{FF2B5EF4-FFF2-40B4-BE49-F238E27FC236}">
              <a16:creationId xmlns:a16="http://schemas.microsoft.com/office/drawing/2014/main" id="{EE1595CB-0399-74AE-2ADC-DDA7024ED071}"/>
            </a:ext>
          </a:extLst>
        </xdr:cNvPr>
        <xdr:cNvSpPr>
          <a:spLocks noChangeShapeType="1"/>
        </xdr:cNvSpPr>
      </xdr:nvSpPr>
      <xdr:spPr bwMode="auto">
        <a:xfrm>
          <a:off x="752475" y="2733675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542925</xdr:colOff>
      <xdr:row>15</xdr:row>
      <xdr:rowOff>47625</xdr:rowOff>
    </xdr:from>
    <xdr:to>
      <xdr:col>6</xdr:col>
      <xdr:colOff>28575</xdr:colOff>
      <xdr:row>15</xdr:row>
      <xdr:rowOff>47625</xdr:rowOff>
    </xdr:to>
    <xdr:sp macro="" textlink="">
      <xdr:nvSpPr>
        <xdr:cNvPr id="4136" name="Line 40">
          <a:extLst>
            <a:ext uri="{FF2B5EF4-FFF2-40B4-BE49-F238E27FC236}">
              <a16:creationId xmlns:a16="http://schemas.microsoft.com/office/drawing/2014/main" id="{3BB9D959-559C-6FCA-2A92-7756E1E64914}"/>
            </a:ext>
          </a:extLst>
        </xdr:cNvPr>
        <xdr:cNvSpPr>
          <a:spLocks noChangeShapeType="1"/>
        </xdr:cNvSpPr>
      </xdr:nvSpPr>
      <xdr:spPr bwMode="auto">
        <a:xfrm>
          <a:off x="4095750" y="267652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15</xdr:row>
      <xdr:rowOff>114300</xdr:rowOff>
    </xdr:from>
    <xdr:to>
      <xdr:col>6</xdr:col>
      <xdr:colOff>28575</xdr:colOff>
      <xdr:row>15</xdr:row>
      <xdr:rowOff>114300</xdr:rowOff>
    </xdr:to>
    <xdr:sp macro="" textlink="">
      <xdr:nvSpPr>
        <xdr:cNvPr id="4137" name="Line 41">
          <a:extLst>
            <a:ext uri="{FF2B5EF4-FFF2-40B4-BE49-F238E27FC236}">
              <a16:creationId xmlns:a16="http://schemas.microsoft.com/office/drawing/2014/main" id="{D3F84725-55D3-04AD-4D32-0F5502420E70}"/>
            </a:ext>
          </a:extLst>
        </xdr:cNvPr>
        <xdr:cNvSpPr>
          <a:spLocks noChangeShapeType="1"/>
        </xdr:cNvSpPr>
      </xdr:nvSpPr>
      <xdr:spPr bwMode="auto">
        <a:xfrm>
          <a:off x="4086225" y="27432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16</xdr:row>
      <xdr:rowOff>161925</xdr:rowOff>
    </xdr:from>
    <xdr:to>
      <xdr:col>6</xdr:col>
      <xdr:colOff>38100</xdr:colOff>
      <xdr:row>16</xdr:row>
      <xdr:rowOff>161925</xdr:rowOff>
    </xdr:to>
    <xdr:sp macro="" textlink="">
      <xdr:nvSpPr>
        <xdr:cNvPr id="4138" name="Line 42">
          <a:extLst>
            <a:ext uri="{FF2B5EF4-FFF2-40B4-BE49-F238E27FC236}">
              <a16:creationId xmlns:a16="http://schemas.microsoft.com/office/drawing/2014/main" id="{DDF2E467-4A59-5E2D-60CC-009517902A38}"/>
            </a:ext>
          </a:extLst>
        </xdr:cNvPr>
        <xdr:cNvSpPr>
          <a:spLocks noChangeShapeType="1"/>
        </xdr:cNvSpPr>
      </xdr:nvSpPr>
      <xdr:spPr bwMode="auto">
        <a:xfrm>
          <a:off x="4086225" y="29622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809625</xdr:colOff>
      <xdr:row>15</xdr:row>
      <xdr:rowOff>114300</xdr:rowOff>
    </xdr:from>
    <xdr:to>
      <xdr:col>5</xdr:col>
      <xdr:colOff>809625</xdr:colOff>
      <xdr:row>16</xdr:row>
      <xdr:rowOff>180975</xdr:rowOff>
    </xdr:to>
    <xdr:sp macro="" textlink="">
      <xdr:nvSpPr>
        <xdr:cNvPr id="4139" name="Line 43">
          <a:extLst>
            <a:ext uri="{FF2B5EF4-FFF2-40B4-BE49-F238E27FC236}">
              <a16:creationId xmlns:a16="http://schemas.microsoft.com/office/drawing/2014/main" id="{2505B9AF-2DAA-26E9-D248-4ECB6D829033}"/>
            </a:ext>
          </a:extLst>
        </xdr:cNvPr>
        <xdr:cNvSpPr>
          <a:spLocks noChangeShapeType="1"/>
        </xdr:cNvSpPr>
      </xdr:nvSpPr>
      <xdr:spPr bwMode="auto">
        <a:xfrm>
          <a:off x="4352925" y="27432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809625</xdr:colOff>
      <xdr:row>14</xdr:row>
      <xdr:rowOff>104775</xdr:rowOff>
    </xdr:from>
    <xdr:to>
      <xdr:col>5</xdr:col>
      <xdr:colOff>809625</xdr:colOff>
      <xdr:row>15</xdr:row>
      <xdr:rowOff>47625</xdr:rowOff>
    </xdr:to>
    <xdr:sp macro="" textlink="">
      <xdr:nvSpPr>
        <xdr:cNvPr id="4140" name="Line 44">
          <a:extLst>
            <a:ext uri="{FF2B5EF4-FFF2-40B4-BE49-F238E27FC236}">
              <a16:creationId xmlns:a16="http://schemas.microsoft.com/office/drawing/2014/main" id="{B6ACBC0B-8153-FE03-0A6F-CAB4A556D584}"/>
            </a:ext>
          </a:extLst>
        </xdr:cNvPr>
        <xdr:cNvSpPr>
          <a:spLocks noChangeShapeType="1"/>
        </xdr:cNvSpPr>
      </xdr:nvSpPr>
      <xdr:spPr bwMode="auto">
        <a:xfrm>
          <a:off x="4352925" y="25622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723900</xdr:colOff>
      <xdr:row>15</xdr:row>
      <xdr:rowOff>47625</xdr:rowOff>
    </xdr:from>
    <xdr:to>
      <xdr:col>8</xdr:col>
      <xdr:colOff>314325</xdr:colOff>
      <xdr:row>15</xdr:row>
      <xdr:rowOff>57150</xdr:rowOff>
    </xdr:to>
    <xdr:sp macro="" textlink="">
      <xdr:nvSpPr>
        <xdr:cNvPr id="4141" name="Freeform 45">
          <a:extLst>
            <a:ext uri="{FF2B5EF4-FFF2-40B4-BE49-F238E27FC236}">
              <a16:creationId xmlns:a16="http://schemas.microsoft.com/office/drawing/2014/main" id="{39693F83-FDA4-176B-9D8A-F74AB8B772C1}"/>
            </a:ext>
          </a:extLst>
        </xdr:cNvPr>
        <xdr:cNvSpPr>
          <a:spLocks/>
        </xdr:cNvSpPr>
      </xdr:nvSpPr>
      <xdr:spPr bwMode="auto">
        <a:xfrm>
          <a:off x="5076825" y="2676525"/>
          <a:ext cx="1190625" cy="9525"/>
        </a:xfrm>
        <a:custGeom>
          <a:avLst/>
          <a:gdLst>
            <a:gd name="T0" fmla="*/ 0 w 125"/>
            <a:gd name="T1" fmla="*/ 0 h 1"/>
            <a:gd name="T2" fmla="*/ 125 w 125"/>
            <a:gd name="T3" fmla="*/ 0 h 1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25" h="1">
              <a:moveTo>
                <a:pt x="0" y="0"/>
              </a:moveTo>
              <a:lnTo>
                <a:pt x="125" y="0"/>
              </a:lnTo>
            </a:path>
          </a:pathLst>
        </a:cu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552450</xdr:colOff>
      <xdr:row>14</xdr:row>
      <xdr:rowOff>114300</xdr:rowOff>
    </xdr:from>
    <xdr:to>
      <xdr:col>8</xdr:col>
      <xdr:colOff>457200</xdr:colOff>
      <xdr:row>16</xdr:row>
      <xdr:rowOff>161925</xdr:rowOff>
    </xdr:to>
    <xdr:sp macro="" textlink="">
      <xdr:nvSpPr>
        <xdr:cNvPr id="4142" name="図形 34">
          <a:extLst>
            <a:ext uri="{FF2B5EF4-FFF2-40B4-BE49-F238E27FC236}">
              <a16:creationId xmlns:a16="http://schemas.microsoft.com/office/drawing/2014/main" id="{8158462A-DF20-A5A9-A973-5714865D9CDB}"/>
            </a:ext>
          </a:extLst>
        </xdr:cNvPr>
        <xdr:cNvSpPr>
          <a:spLocks/>
        </xdr:cNvSpPr>
      </xdr:nvSpPr>
      <xdr:spPr bwMode="auto">
        <a:xfrm>
          <a:off x="4905375" y="2571750"/>
          <a:ext cx="1504950" cy="390525"/>
        </a:xfrm>
        <a:custGeom>
          <a:avLst/>
          <a:gdLst>
            <a:gd name="T0" fmla="*/ 0 w 16384"/>
            <a:gd name="T1" fmla="*/ 16384 h 16384"/>
            <a:gd name="T2" fmla="*/ 0 w 16384"/>
            <a:gd name="T3" fmla="*/ 0 h 16384"/>
            <a:gd name="T4" fmla="*/ 1792 w 16384"/>
            <a:gd name="T5" fmla="*/ 0 h 16384"/>
            <a:gd name="T6" fmla="*/ 1792 w 16384"/>
            <a:gd name="T7" fmla="*/ 7228 h 16384"/>
            <a:gd name="T8" fmla="*/ 14848 w 16384"/>
            <a:gd name="T9" fmla="*/ 7228 h 16384"/>
            <a:gd name="T10" fmla="*/ 14848 w 16384"/>
            <a:gd name="T11" fmla="*/ 0 h 16384"/>
            <a:gd name="T12" fmla="*/ 16384 w 16384"/>
            <a:gd name="T13" fmla="*/ 0 h 16384"/>
            <a:gd name="T14" fmla="*/ 16384 w 16384"/>
            <a:gd name="T15" fmla="*/ 16384 h 16384"/>
            <a:gd name="T16" fmla="*/ 0 w 16384"/>
            <a:gd name="T17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0"/>
              </a:lnTo>
              <a:lnTo>
                <a:pt x="1792" y="0"/>
              </a:lnTo>
              <a:lnTo>
                <a:pt x="1792" y="7228"/>
              </a:lnTo>
              <a:lnTo>
                <a:pt x="14848" y="7228"/>
              </a:lnTo>
              <a:lnTo>
                <a:pt x="14848" y="0"/>
              </a:lnTo>
              <a:lnTo>
                <a:pt x="16384" y="0"/>
              </a:lnTo>
              <a:lnTo>
                <a:pt x="16384" y="16384"/>
              </a:lnTo>
              <a:lnTo>
                <a:pt x="0" y="16384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714375</xdr:colOff>
      <xdr:row>12</xdr:row>
      <xdr:rowOff>142875</xdr:rowOff>
    </xdr:from>
    <xdr:to>
      <xdr:col>6</xdr:col>
      <xdr:colOff>714375</xdr:colOff>
      <xdr:row>14</xdr:row>
      <xdr:rowOff>76200</xdr:rowOff>
    </xdr:to>
    <xdr:sp macro="" textlink="">
      <xdr:nvSpPr>
        <xdr:cNvPr id="4143" name="Line 47">
          <a:extLst>
            <a:ext uri="{FF2B5EF4-FFF2-40B4-BE49-F238E27FC236}">
              <a16:creationId xmlns:a16="http://schemas.microsoft.com/office/drawing/2014/main" id="{024FFEFD-C67D-E95E-A90F-231C1593AE42}"/>
            </a:ext>
          </a:extLst>
        </xdr:cNvPr>
        <xdr:cNvSpPr>
          <a:spLocks noChangeShapeType="1"/>
        </xdr:cNvSpPr>
      </xdr:nvSpPr>
      <xdr:spPr bwMode="auto">
        <a:xfrm flipV="1">
          <a:off x="5067300" y="22574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314325</xdr:colOff>
      <xdr:row>12</xdr:row>
      <xdr:rowOff>123825</xdr:rowOff>
    </xdr:from>
    <xdr:to>
      <xdr:col>8</xdr:col>
      <xdr:colOff>314325</xdr:colOff>
      <xdr:row>14</xdr:row>
      <xdr:rowOff>85725</xdr:rowOff>
    </xdr:to>
    <xdr:sp macro="" textlink="">
      <xdr:nvSpPr>
        <xdr:cNvPr id="4144" name="Line 48">
          <a:extLst>
            <a:ext uri="{FF2B5EF4-FFF2-40B4-BE49-F238E27FC236}">
              <a16:creationId xmlns:a16="http://schemas.microsoft.com/office/drawing/2014/main" id="{87EF092A-2491-BE12-FE0A-2B57C92D105F}"/>
            </a:ext>
          </a:extLst>
        </xdr:cNvPr>
        <xdr:cNvSpPr>
          <a:spLocks noChangeShapeType="1"/>
        </xdr:cNvSpPr>
      </xdr:nvSpPr>
      <xdr:spPr bwMode="auto">
        <a:xfrm flipV="1">
          <a:off x="6267450" y="22383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13</xdr:row>
      <xdr:rowOff>9525</xdr:rowOff>
    </xdr:from>
    <xdr:to>
      <xdr:col>8</xdr:col>
      <xdr:colOff>314325</xdr:colOff>
      <xdr:row>13</xdr:row>
      <xdr:rowOff>9525</xdr:rowOff>
    </xdr:to>
    <xdr:sp macro="" textlink="">
      <xdr:nvSpPr>
        <xdr:cNvPr id="4145" name="Line 49">
          <a:extLst>
            <a:ext uri="{FF2B5EF4-FFF2-40B4-BE49-F238E27FC236}">
              <a16:creationId xmlns:a16="http://schemas.microsoft.com/office/drawing/2014/main" id="{A322CAB0-9A36-F362-A7BF-CB3825FF4ED1}"/>
            </a:ext>
          </a:extLst>
        </xdr:cNvPr>
        <xdr:cNvSpPr>
          <a:spLocks noChangeShapeType="1"/>
        </xdr:cNvSpPr>
      </xdr:nvSpPr>
      <xdr:spPr bwMode="auto">
        <a:xfrm>
          <a:off x="5067300" y="2295525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714375</xdr:colOff>
      <xdr:row>18</xdr:row>
      <xdr:rowOff>114300</xdr:rowOff>
    </xdr:from>
    <xdr:to>
      <xdr:col>4</xdr:col>
      <xdr:colOff>47625</xdr:colOff>
      <xdr:row>20</xdr:row>
      <xdr:rowOff>9525</xdr:rowOff>
    </xdr:to>
    <xdr:sp macro="" textlink="$K$20">
      <xdr:nvSpPr>
        <xdr:cNvPr id="2" name="テキスト ボックス 1">
          <a:extLst>
            <a:ext uri="{FF2B5EF4-FFF2-40B4-BE49-F238E27FC236}">
              <a16:creationId xmlns:a16="http://schemas.microsoft.com/office/drawing/2014/main" id="{D3589036-7055-C8BB-CABB-A13033479900}"/>
            </a:ext>
          </a:extLst>
        </xdr:cNvPr>
        <xdr:cNvSpPr txBox="1"/>
      </xdr:nvSpPr>
      <xdr:spPr>
        <a:xfrm>
          <a:off x="1866900" y="3257550"/>
          <a:ext cx="933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A258BA7-51C5-48D1-900D-01D9ADBE6143}" type="TxLink">
            <a:rPr kumimoji="1" lang="en-US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L＝2.100m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11</xdr:row>
      <xdr:rowOff>123825</xdr:rowOff>
    </xdr:from>
    <xdr:to>
      <xdr:col>8</xdr:col>
      <xdr:colOff>209550</xdr:colOff>
      <xdr:row>13</xdr:row>
      <xdr:rowOff>19050</xdr:rowOff>
    </xdr:to>
    <xdr:sp macro="" textlink="$K$14">
      <xdr:nvSpPr>
        <xdr:cNvPr id="23" name="テキスト ボックス 22">
          <a:extLst>
            <a:ext uri="{FF2B5EF4-FFF2-40B4-BE49-F238E27FC236}">
              <a16:creationId xmlns:a16="http://schemas.microsoft.com/office/drawing/2014/main" id="{3119CD5C-AC1E-C4A1-FF4E-56AC25CA26FA}"/>
            </a:ext>
          </a:extLst>
        </xdr:cNvPr>
        <xdr:cNvSpPr txBox="1"/>
      </xdr:nvSpPr>
      <xdr:spPr>
        <a:xfrm>
          <a:off x="5229225" y="2066925"/>
          <a:ext cx="933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53075D6-0169-4A54-BD16-32258B507F50}" type="TxLink">
            <a:rPr kumimoji="1" lang="en-US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W＝2.000m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19050</xdr:colOff>
      <xdr:row>14</xdr:row>
      <xdr:rowOff>28575</xdr:rowOff>
    </xdr:from>
    <xdr:to>
      <xdr:col>6</xdr:col>
      <xdr:colOff>257175</xdr:colOff>
      <xdr:row>18</xdr:row>
      <xdr:rowOff>38100</xdr:rowOff>
    </xdr:to>
    <xdr:sp macro="" textlink="$K$18">
      <xdr:nvSpPr>
        <xdr:cNvPr id="24" name="テキスト ボックス 23">
          <a:extLst>
            <a:ext uri="{FF2B5EF4-FFF2-40B4-BE49-F238E27FC236}">
              <a16:creationId xmlns:a16="http://schemas.microsoft.com/office/drawing/2014/main" id="{37BC1CEA-2A1D-2DF7-A740-F88612C70CE8}"/>
            </a:ext>
          </a:extLst>
        </xdr:cNvPr>
        <xdr:cNvSpPr txBox="1"/>
      </xdr:nvSpPr>
      <xdr:spPr>
        <a:xfrm rot="16200000">
          <a:off x="4143375" y="2714625"/>
          <a:ext cx="6953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7E718-CACE-4F13-B274-8DDE6BCC6653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h=25cm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590554</xdr:colOff>
      <xdr:row>12</xdr:row>
      <xdr:rowOff>66672</xdr:rowOff>
    </xdr:from>
    <xdr:to>
      <xdr:col>6</xdr:col>
      <xdr:colOff>28579</xdr:colOff>
      <xdr:row>16</xdr:row>
      <xdr:rowOff>9524</xdr:rowOff>
    </xdr:to>
    <xdr:sp macro="" textlink="$K$16">
      <xdr:nvSpPr>
        <xdr:cNvPr id="25" name="テキスト ボックス 24">
          <a:extLst>
            <a:ext uri="{FF2B5EF4-FFF2-40B4-BE49-F238E27FC236}">
              <a16:creationId xmlns:a16="http://schemas.microsoft.com/office/drawing/2014/main" id="{F15EC837-152D-31BD-B3CD-D73DE88A286D}"/>
            </a:ext>
          </a:extLst>
        </xdr:cNvPr>
        <xdr:cNvSpPr txBox="1"/>
      </xdr:nvSpPr>
      <xdr:spPr>
        <a:xfrm rot="16200000">
          <a:off x="3948116" y="2376485"/>
          <a:ext cx="62865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4B3CEB-EB34-424C-9AC4-2C9A1C254716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t=5cm</a:t>
          </a:fld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35373;&#35336;&#35336;&#31639;&#26360;&#65288;Excel&#31561;&#36890;&#24120;&#20351;&#29992;&#65289;\&#20844;&#38283;&#29992;&#65288;&#12497;&#12473;&#12527;&#12540;&#12489;&#35373;&#23450;&#65289;\&#21336;&#32020;&#24202;&#29256;&#27211;&#25903;&#38291;&#24179;&#34892;&#65314;&#33655;&#37325;&#65288;N&#21336;&#20301;&#65289;.xlsx" TargetMode="External"/><Relationship Id="rId1" Type="http://schemas.openxmlformats.org/officeDocument/2006/relationships/externalLinkPath" Target="&#21336;&#32020;&#24202;&#29256;&#27211;&#25903;&#38291;&#24179;&#34892;&#65314;&#33655;&#37325;&#65288;N&#21336;&#2030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ー入力"/>
      <sheetName val="出力シート"/>
      <sheetName val="編集時"/>
    </sheetNames>
    <sheetDataSet>
      <sheetData sheetId="0">
        <row r="3">
          <cell r="F3">
            <v>1</v>
          </cell>
        </row>
        <row r="11">
          <cell r="G11">
            <v>2.5</v>
          </cell>
        </row>
        <row r="12">
          <cell r="G12">
            <v>2</v>
          </cell>
        </row>
        <row r="13">
          <cell r="G13">
            <v>4</v>
          </cell>
        </row>
        <row r="15">
          <cell r="F15">
            <v>8</v>
          </cell>
        </row>
        <row r="16">
          <cell r="F16">
            <v>140</v>
          </cell>
        </row>
        <row r="38">
          <cell r="H38">
            <v>63</v>
          </cell>
        </row>
        <row r="43">
          <cell r="E43">
            <v>30</v>
          </cell>
        </row>
        <row r="51">
          <cell r="G51">
            <v>8.25</v>
          </cell>
        </row>
        <row r="56">
          <cell r="G56">
            <v>6.4450000000000003</v>
          </cell>
        </row>
        <row r="61">
          <cell r="G61">
            <v>69.444999999999993</v>
          </cell>
        </row>
        <row r="66">
          <cell r="G66">
            <v>21</v>
          </cell>
        </row>
        <row r="75">
          <cell r="F75">
            <v>0.8</v>
          </cell>
        </row>
        <row r="78">
          <cell r="D78">
            <v>10</v>
          </cell>
          <cell r="H78">
            <v>20</v>
          </cell>
        </row>
        <row r="83">
          <cell r="F83">
            <v>1.055E-2</v>
          </cell>
        </row>
        <row r="87">
          <cell r="D87">
            <v>25</v>
          </cell>
          <cell r="E87">
            <v>12.5</v>
          </cell>
        </row>
        <row r="89">
          <cell r="D89">
            <v>40.54</v>
          </cell>
        </row>
        <row r="98">
          <cell r="D98">
            <v>16</v>
          </cell>
          <cell r="E98">
            <v>12.5</v>
          </cell>
        </row>
        <row r="100">
          <cell r="D100">
            <v>15.89</v>
          </cell>
        </row>
        <row r="109">
          <cell r="D109">
            <v>0.53300000000000003</v>
          </cell>
        </row>
        <row r="110">
          <cell r="D110">
            <v>0.82199999999999995</v>
          </cell>
        </row>
        <row r="115">
          <cell r="H115">
            <v>104.2</v>
          </cell>
        </row>
        <row r="121">
          <cell r="J121">
            <v>7.9</v>
          </cell>
        </row>
        <row r="128">
          <cell r="D128">
            <v>0.38300000000000001</v>
          </cell>
        </row>
        <row r="129">
          <cell r="D129">
            <v>0.872</v>
          </cell>
        </row>
        <row r="134">
          <cell r="I134">
            <v>75.8</v>
          </cell>
        </row>
        <row r="140">
          <cell r="J140">
            <v>3.1</v>
          </cell>
        </row>
        <row r="145">
          <cell r="D145">
            <v>10</v>
          </cell>
          <cell r="E145">
            <v>13</v>
          </cell>
          <cell r="F145">
            <v>16</v>
          </cell>
          <cell r="G145">
            <v>19</v>
          </cell>
          <cell r="H145">
            <v>22</v>
          </cell>
        </row>
        <row r="146">
          <cell r="D146">
            <v>0.71330000000000005</v>
          </cell>
          <cell r="E146">
            <v>1.2669999999999999</v>
          </cell>
          <cell r="F146">
            <v>1.986</v>
          </cell>
          <cell r="G146">
            <v>2.8650000000000002</v>
          </cell>
          <cell r="H146">
            <v>3.871</v>
          </cell>
        </row>
        <row r="148">
          <cell r="D148">
            <v>25</v>
          </cell>
          <cell r="E148">
            <v>29</v>
          </cell>
          <cell r="F148">
            <v>32</v>
          </cell>
          <cell r="G148">
            <v>35</v>
          </cell>
          <cell r="H148">
            <v>38</v>
          </cell>
        </row>
        <row r="149">
          <cell r="D149">
            <v>5.0670000000000002</v>
          </cell>
          <cell r="E149">
            <v>6.4240000000000004</v>
          </cell>
          <cell r="F149">
            <v>7.9420000000000002</v>
          </cell>
          <cell r="G149">
            <v>9.5660000000000007</v>
          </cell>
          <cell r="H149">
            <v>11.4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50"/>
  <sheetViews>
    <sheetView showGridLines="0" tabSelected="1" defaultGridColor="0" colorId="8" workbookViewId="0">
      <selection activeCell="C7" sqref="C7"/>
    </sheetView>
  </sheetViews>
  <sheetFormatPr defaultRowHeight="13.5" x14ac:dyDescent="0.15"/>
  <cols>
    <col min="1" max="1" width="4.625" style="5" customWidth="1"/>
    <col min="2" max="10" width="10.5" style="5" customWidth="1"/>
    <col min="11" max="16384" width="9" style="5"/>
  </cols>
  <sheetData>
    <row r="2" spans="2:12" x14ac:dyDescent="0.15">
      <c r="B2" s="76"/>
      <c r="C2" s="72" t="s">
        <v>102</v>
      </c>
      <c r="D2" s="6"/>
      <c r="E2" s="6"/>
      <c r="F2" s="6"/>
      <c r="G2" s="6"/>
    </row>
    <row r="3" spans="2:12" x14ac:dyDescent="0.15">
      <c r="B3" s="32" t="s">
        <v>100</v>
      </c>
      <c r="C3" s="32"/>
      <c r="D3" s="32" t="s">
        <v>0</v>
      </c>
      <c r="E3" s="32"/>
      <c r="F3" s="74">
        <v>1</v>
      </c>
    </row>
    <row r="4" spans="2:12" x14ac:dyDescent="0.15">
      <c r="B4" s="52" t="s">
        <v>128</v>
      </c>
      <c r="C4" s="32"/>
      <c r="D4" s="32"/>
      <c r="E4" s="32"/>
    </row>
    <row r="5" spans="2:12" x14ac:dyDescent="0.15">
      <c r="B5" s="72"/>
      <c r="C5" s="72"/>
      <c r="D5" s="6"/>
      <c r="E5" s="6"/>
      <c r="F5" s="6"/>
      <c r="G5" s="6"/>
    </row>
    <row r="6" spans="2:12" x14ac:dyDescent="0.15">
      <c r="B6" s="3" t="s">
        <v>112</v>
      </c>
      <c r="C6" s="3"/>
      <c r="D6" s="3"/>
      <c r="E6" s="3"/>
    </row>
    <row r="8" spans="2:12" x14ac:dyDescent="0.15">
      <c r="B8" s="3" t="s">
        <v>1</v>
      </c>
      <c r="C8" s="3"/>
      <c r="D8" s="3"/>
      <c r="E8" s="3"/>
      <c r="F8" s="3"/>
      <c r="G8" s="3"/>
      <c r="H8" s="3"/>
    </row>
    <row r="9" spans="2:12" x14ac:dyDescent="0.15">
      <c r="B9" s="3"/>
      <c r="C9" s="3"/>
      <c r="D9" s="3"/>
      <c r="E9" s="3"/>
      <c r="F9" s="3"/>
      <c r="G9" s="3"/>
      <c r="H9" s="3"/>
    </row>
    <row r="10" spans="2:12" x14ac:dyDescent="0.15">
      <c r="B10"/>
      <c r="C10" s="13" t="s">
        <v>2</v>
      </c>
      <c r="D10" s="7"/>
      <c r="E10" s="51" t="s">
        <v>129</v>
      </c>
      <c r="F10" s="8"/>
    </row>
    <row r="11" spans="2:12" x14ac:dyDescent="0.15">
      <c r="B11"/>
      <c r="C11" s="13" t="s">
        <v>3</v>
      </c>
      <c r="D11" s="3"/>
      <c r="F11" s="3" t="s">
        <v>4</v>
      </c>
      <c r="G11" s="73">
        <v>2.1</v>
      </c>
      <c r="H11" s="3" t="s">
        <v>5</v>
      </c>
      <c r="I11" s="3"/>
      <c r="J11" s="3"/>
    </row>
    <row r="12" spans="2:12" x14ac:dyDescent="0.15">
      <c r="B12"/>
      <c r="C12" s="13" t="s">
        <v>6</v>
      </c>
      <c r="D12" s="3"/>
      <c r="E12" s="3" t="s">
        <v>7</v>
      </c>
      <c r="F12" s="3" t="s">
        <v>8</v>
      </c>
      <c r="G12" s="73">
        <v>2</v>
      </c>
      <c r="H12" s="3" t="s">
        <v>5</v>
      </c>
      <c r="I12" s="81" t="s">
        <v>113</v>
      </c>
      <c r="J12" s="3"/>
    </row>
    <row r="13" spans="2:12" x14ac:dyDescent="0.15">
      <c r="B13"/>
      <c r="C13" s="13" t="s">
        <v>9</v>
      </c>
      <c r="D13" s="3"/>
      <c r="E13" s="3" t="s">
        <v>10</v>
      </c>
      <c r="F13" s="3" t="s">
        <v>11</v>
      </c>
      <c r="G13" s="74">
        <v>5</v>
      </c>
      <c r="H13" s="3" t="s">
        <v>12</v>
      </c>
      <c r="I13" s="3" t="str">
        <f>IF(舗装種別=1,"（アスファルト）","（コンクリート）")</f>
        <v>（アスファルト）</v>
      </c>
      <c r="J13" s="3"/>
    </row>
    <row r="14" spans="2:12" x14ac:dyDescent="0.15">
      <c r="B14"/>
      <c r="C14" s="13" t="s">
        <v>13</v>
      </c>
      <c r="D14" s="3"/>
      <c r="E14" s="32" t="s">
        <v>14</v>
      </c>
      <c r="F14" s="9"/>
    </row>
    <row r="15" spans="2:12" ht="15.75" x14ac:dyDescent="0.15">
      <c r="B15"/>
      <c r="C15" s="69" t="s">
        <v>15</v>
      </c>
      <c r="D15" s="70" t="s">
        <v>98</v>
      </c>
      <c r="E15" s="3" t="s">
        <v>16</v>
      </c>
      <c r="F15" s="75">
        <v>8</v>
      </c>
      <c r="G15" s="72" t="s">
        <v>101</v>
      </c>
      <c r="H15" s="66"/>
      <c r="I15" s="3"/>
    </row>
    <row r="16" spans="2:12" ht="15.75" x14ac:dyDescent="0.15">
      <c r="B16" s="3"/>
      <c r="C16" s="3"/>
      <c r="D16" s="71" t="s">
        <v>90</v>
      </c>
      <c r="E16" s="3" t="s">
        <v>17</v>
      </c>
      <c r="F16" s="75">
        <v>140</v>
      </c>
      <c r="G16" s="72" t="s">
        <v>101</v>
      </c>
      <c r="H16" s="66"/>
      <c r="I16" s="3"/>
      <c r="K16" s="54"/>
      <c r="L16" s="54"/>
    </row>
    <row r="17" spans="2:12" x14ac:dyDescent="0.15">
      <c r="B17" s="3"/>
      <c r="C17" s="3"/>
      <c r="D17" s="71"/>
      <c r="E17" s="3"/>
      <c r="F17" s="82"/>
      <c r="G17" s="72"/>
      <c r="H17" s="66"/>
      <c r="I17" s="3"/>
      <c r="K17" s="54"/>
      <c r="L17" s="54"/>
    </row>
    <row r="18" spans="2:12" s="72" customFormat="1" x14ac:dyDescent="0.15">
      <c r="B18" s="3"/>
      <c r="C18" s="3"/>
      <c r="D18" s="3"/>
    </row>
    <row r="19" spans="2:12" s="72" customFormat="1" x14ac:dyDescent="0.15">
      <c r="B19" s="3"/>
      <c r="C19" s="3"/>
      <c r="D19" s="3"/>
      <c r="I19" s="83" t="s">
        <v>18</v>
      </c>
    </row>
    <row r="20" spans="2:12" s="72" customFormat="1" x14ac:dyDescent="0.15">
      <c r="B20" s="3"/>
      <c r="C20" s="3"/>
      <c r="D20" s="3"/>
    </row>
    <row r="21" spans="2:12" s="72" customFormat="1" x14ac:dyDescent="0.15">
      <c r="B21" s="3"/>
      <c r="C21" s="3"/>
      <c r="D21" s="3"/>
    </row>
    <row r="22" spans="2:12" s="72" customFormat="1" x14ac:dyDescent="0.15">
      <c r="B22" s="3"/>
      <c r="C22" s="3"/>
      <c r="D22" s="3"/>
    </row>
    <row r="23" spans="2:12" s="72" customFormat="1" x14ac:dyDescent="0.15">
      <c r="B23" s="3"/>
      <c r="C23" s="3"/>
      <c r="D23" s="3"/>
    </row>
    <row r="24" spans="2:12" s="72" customFormat="1" x14ac:dyDescent="0.15">
      <c r="B24" s="3"/>
      <c r="C24" s="3"/>
      <c r="D24" s="3"/>
    </row>
    <row r="25" spans="2:12" s="72" customFormat="1" x14ac:dyDescent="0.15">
      <c r="B25" s="3"/>
      <c r="C25" s="3"/>
      <c r="D25" s="3"/>
    </row>
    <row r="26" spans="2:12" s="72" customFormat="1" x14ac:dyDescent="0.15">
      <c r="B26" s="3"/>
      <c r="C26" s="3"/>
      <c r="D26" s="3"/>
      <c r="E26" s="83" t="s">
        <v>19</v>
      </c>
    </row>
    <row r="27" spans="2:12" s="72" customFormat="1" x14ac:dyDescent="0.15">
      <c r="B27" s="3"/>
      <c r="C27" s="3"/>
      <c r="D27" s="3"/>
    </row>
    <row r="28" spans="2:12" x14ac:dyDescent="0.15">
      <c r="B28" s="3"/>
      <c r="C28" s="3"/>
      <c r="D28" s="3"/>
      <c r="I28" s="10"/>
    </row>
    <row r="29" spans="2:12" x14ac:dyDescent="0.15">
      <c r="B29" s="3"/>
      <c r="C29" s="3"/>
      <c r="D29" s="3"/>
    </row>
    <row r="30" spans="2:12" x14ac:dyDescent="0.15">
      <c r="B30" s="3" t="s">
        <v>20</v>
      </c>
      <c r="C30" s="3"/>
      <c r="D30" s="3"/>
      <c r="E30" s="3" t="s">
        <v>21</v>
      </c>
      <c r="F30" s="3"/>
      <c r="G30" s="3"/>
      <c r="H30" s="3"/>
      <c r="I30" s="3"/>
      <c r="J30" s="3"/>
    </row>
    <row r="31" spans="2:12" x14ac:dyDescent="0.15">
      <c r="B31" s="3"/>
      <c r="C31" s="3"/>
      <c r="D31" s="3"/>
      <c r="E31" s="3"/>
      <c r="F31" s="3"/>
      <c r="G31" s="3"/>
      <c r="H31" s="3"/>
      <c r="I31" s="3"/>
      <c r="J31" s="3"/>
    </row>
    <row r="32" spans="2:12" x14ac:dyDescent="0.15">
      <c r="B32" s="3" t="s">
        <v>22</v>
      </c>
      <c r="C32" s="3" t="s">
        <v>23</v>
      </c>
      <c r="D32" s="3"/>
      <c r="E32" s="3"/>
      <c r="F32" s="3"/>
      <c r="G32" s="3"/>
      <c r="H32" s="3"/>
      <c r="I32" s="3"/>
      <c r="J32" s="3"/>
    </row>
    <row r="33" spans="2:10" x14ac:dyDescent="0.1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15">
      <c r="B34" s="3"/>
      <c r="C34" s="3" t="s">
        <v>24</v>
      </c>
      <c r="D34" s="3"/>
      <c r="E34" s="3"/>
      <c r="F34" s="3"/>
      <c r="G34" s="3"/>
      <c r="H34" s="3"/>
      <c r="I34" s="3"/>
      <c r="J34" s="3"/>
    </row>
    <row r="35" spans="2:10" x14ac:dyDescent="0.15">
      <c r="B35" s="3"/>
      <c r="C35" s="3" t="s">
        <v>130</v>
      </c>
      <c r="D35" s="3"/>
      <c r="E35" s="3"/>
      <c r="F35" s="3"/>
      <c r="G35" s="3"/>
      <c r="H35" s="3"/>
      <c r="I35" s="3"/>
      <c r="J35" s="3"/>
    </row>
    <row r="36" spans="2:10" x14ac:dyDescent="0.15">
      <c r="B36" s="3"/>
      <c r="C36" s="16" t="s">
        <v>25</v>
      </c>
      <c r="D36" s="3" t="s">
        <v>26</v>
      </c>
      <c r="E36" s="3"/>
      <c r="F36" s="3"/>
      <c r="G36" s="3"/>
      <c r="H36" s="3"/>
      <c r="I36" s="3"/>
      <c r="J36" s="3"/>
    </row>
    <row r="37" spans="2:10" x14ac:dyDescent="0.15">
      <c r="B37" s="3"/>
      <c r="C37" s="16" t="s">
        <v>27</v>
      </c>
      <c r="D37" s="3" t="s">
        <v>89</v>
      </c>
      <c r="E37" s="3"/>
      <c r="F37" s="3"/>
      <c r="G37" s="3"/>
      <c r="H37" s="11"/>
      <c r="I37" s="3"/>
      <c r="J37" s="3"/>
    </row>
    <row r="38" spans="2:10" x14ac:dyDescent="0.15">
      <c r="B38" s="3"/>
      <c r="C38" s="24" t="str">
        <f>"  Ｍli ＝ 0.80 × （ 0.22 × "&amp;FIXED(支間,3)&amp;" ＋ 0.08  ） × 100 ＝ "</f>
        <v xml:space="preserve">  Ｍli ＝ 0.80 × （ 0.22 × 2.100 ＋ 0.08  ） × 100 ＝ </v>
      </c>
      <c r="D38" s="3"/>
      <c r="E38" s="3"/>
      <c r="F38" s="3"/>
      <c r="G38" s="3"/>
      <c r="H38" s="11"/>
      <c r="I38" s="57">
        <f>ROUND(0.8*(0.22*支間+0.08)*100,3)</f>
        <v>43.36</v>
      </c>
      <c r="J38" s="3" t="s">
        <v>88</v>
      </c>
    </row>
    <row r="39" spans="2:10" x14ac:dyDescent="0.15">
      <c r="B39" s="3"/>
      <c r="C39" s="3"/>
      <c r="D39" s="12"/>
      <c r="E39" s="1"/>
      <c r="F39" s="14"/>
      <c r="G39" s="3"/>
      <c r="H39" s="16"/>
      <c r="I39" s="67"/>
      <c r="J39" s="3"/>
    </row>
    <row r="40" spans="2:10" x14ac:dyDescent="0.15">
      <c r="B40" s="3"/>
      <c r="C40" s="3"/>
      <c r="D40" s="3"/>
      <c r="E40" s="3"/>
      <c r="F40" s="3"/>
      <c r="G40" s="3"/>
    </row>
    <row r="41" spans="2:10" x14ac:dyDescent="0.15">
      <c r="B41" s="3"/>
      <c r="C41" s="3" t="s">
        <v>28</v>
      </c>
      <c r="D41" s="3"/>
      <c r="E41" s="3"/>
      <c r="F41" s="3"/>
      <c r="G41" s="3"/>
      <c r="H41" s="3"/>
      <c r="I41" s="3"/>
      <c r="J41" s="3"/>
    </row>
    <row r="42" spans="2:10" x14ac:dyDescent="0.15">
      <c r="B42" s="3"/>
      <c r="C42" s="3"/>
      <c r="D42" s="3"/>
      <c r="E42" s="3"/>
      <c r="F42" s="3"/>
      <c r="G42" s="3"/>
      <c r="H42" s="3"/>
      <c r="I42" s="3"/>
      <c r="J42" s="3"/>
    </row>
    <row r="43" spans="2:10" x14ac:dyDescent="0.15">
      <c r="D43" s="16" t="s">
        <v>29</v>
      </c>
      <c r="E43" s="77">
        <v>25</v>
      </c>
      <c r="F43" s="3" t="s">
        <v>12</v>
      </c>
      <c r="G43" s="3"/>
      <c r="H43" s="3"/>
      <c r="I43" s="3"/>
      <c r="J43" s="3"/>
    </row>
    <row r="44" spans="2:10" x14ac:dyDescent="0.15">
      <c r="C44" s="3"/>
      <c r="D44" s="3"/>
      <c r="F44" s="3"/>
      <c r="G44" s="3"/>
      <c r="H44" s="3"/>
      <c r="I44" s="3"/>
      <c r="J44" s="3"/>
    </row>
    <row r="45" spans="2:10" x14ac:dyDescent="0.15">
      <c r="C45" s="3" t="s">
        <v>30</v>
      </c>
      <c r="D45" s="3"/>
      <c r="E45" s="3"/>
      <c r="F45" s="3"/>
      <c r="G45" s="3"/>
      <c r="H45" s="3"/>
      <c r="I45" s="3"/>
      <c r="J45" s="3"/>
    </row>
    <row r="46" spans="2:10" x14ac:dyDescent="0.15">
      <c r="C46" s="3"/>
      <c r="D46" s="3"/>
      <c r="E46" s="3"/>
      <c r="F46" s="3"/>
      <c r="G46" s="3"/>
      <c r="H46" s="3"/>
      <c r="I46" s="3"/>
      <c r="J46" s="3"/>
    </row>
    <row r="47" spans="2:10" ht="15.75" x14ac:dyDescent="0.15">
      <c r="C47" s="3" t="s">
        <v>31</v>
      </c>
      <c r="D47" s="3"/>
      <c r="E47" s="3" t="str">
        <f>IF(舗装種別=1,"(ｱｽﾌｧﾙﾄ)","(ｺﾝｸﾘｰﾄ)")</f>
        <v>(ｱｽﾌｧﾙﾄ)</v>
      </c>
      <c r="F47" s="3" t="s">
        <v>32</v>
      </c>
      <c r="G47" s="55">
        <f>IF(舗装種別=1,ROUND(舗装厚/100*22.5,3),ROUND(舗装厚/100*23,3))</f>
        <v>1.125</v>
      </c>
      <c r="H47" s="3" t="s">
        <v>92</v>
      </c>
      <c r="I47" s="16" t="str">
        <f>IF(舗装種別=1,"(22.5 ","(23 ")</f>
        <v xml:space="preserve">(22.5 </v>
      </c>
      <c r="J47" s="17" t="s">
        <v>91</v>
      </c>
    </row>
    <row r="48" spans="2:10" x14ac:dyDescent="0.15">
      <c r="C48" s="3"/>
      <c r="D48" s="3"/>
      <c r="E48" s="3"/>
      <c r="F48" s="16"/>
      <c r="G48" s="2"/>
      <c r="H48" s="3"/>
      <c r="I48" s="16"/>
      <c r="J48" s="17"/>
    </row>
    <row r="49" spans="2:10" ht="15.75" x14ac:dyDescent="0.15">
      <c r="C49" s="3" t="s">
        <v>33</v>
      </c>
      <c r="D49" s="3"/>
      <c r="E49" s="3"/>
      <c r="F49" s="3" t="s">
        <v>34</v>
      </c>
      <c r="G49" s="55">
        <f>ROUND(床版厚/100*24.5,3)</f>
        <v>6.125</v>
      </c>
      <c r="H49" s="3" t="s">
        <v>92</v>
      </c>
      <c r="I49" s="16" t="s">
        <v>93</v>
      </c>
      <c r="J49" s="17" t="s">
        <v>91</v>
      </c>
    </row>
    <row r="50" spans="2:10" x14ac:dyDescent="0.15">
      <c r="C50" s="3"/>
      <c r="D50" s="3"/>
      <c r="E50" s="3"/>
      <c r="F50" s="16"/>
      <c r="G50" s="2"/>
      <c r="H50" s="3"/>
      <c r="I50" s="16"/>
      <c r="J50" s="17"/>
    </row>
    <row r="51" spans="2:10" x14ac:dyDescent="0.15">
      <c r="C51" s="3"/>
      <c r="D51" s="3"/>
      <c r="E51" s="3" t="s">
        <v>35</v>
      </c>
      <c r="F51" s="3" t="s">
        <v>36</v>
      </c>
      <c r="G51" s="55">
        <f>G47+G49</f>
        <v>7.25</v>
      </c>
      <c r="H51" s="3" t="s">
        <v>92</v>
      </c>
      <c r="I51" s="3"/>
      <c r="J51" s="3"/>
    </row>
    <row r="52" spans="2:10" x14ac:dyDescent="0.15">
      <c r="C52" s="3"/>
      <c r="D52" s="3"/>
      <c r="E52" s="3"/>
      <c r="F52" s="16"/>
      <c r="G52" s="2"/>
      <c r="H52" s="3"/>
      <c r="I52" s="3"/>
      <c r="J52" s="3"/>
    </row>
    <row r="53" spans="2:10" x14ac:dyDescent="0.15">
      <c r="C53" s="3"/>
      <c r="D53" s="3"/>
      <c r="F53" s="3"/>
      <c r="G53" s="3"/>
      <c r="H53" s="3"/>
      <c r="I53" s="3"/>
      <c r="J53" s="3"/>
    </row>
    <row r="54" spans="2:10" x14ac:dyDescent="0.15">
      <c r="B54" s="3"/>
      <c r="C54" s="3" t="s">
        <v>37</v>
      </c>
      <c r="D54" s="3"/>
      <c r="E54" s="3"/>
      <c r="F54" s="3"/>
      <c r="G54" s="3"/>
      <c r="H54" s="3"/>
      <c r="I54" s="3"/>
      <c r="J54" s="3"/>
    </row>
    <row r="55" spans="2:10" ht="15.75" x14ac:dyDescent="0.15">
      <c r="B55" s="3"/>
      <c r="C55" s="3" t="s">
        <v>38</v>
      </c>
      <c r="D55" s="3"/>
      <c r="E55" s="3"/>
      <c r="F55" s="3"/>
      <c r="G55" s="3"/>
      <c r="H55" s="3"/>
      <c r="I55" s="3"/>
      <c r="J55" s="3"/>
    </row>
    <row r="56" spans="2:10" x14ac:dyDescent="0.15">
      <c r="B56" s="3"/>
      <c r="C56" s="3" t="str">
        <f>"　＝ 1 ／ 8 × "&amp;FIXED(WW,3)&amp;" × "&amp;FIXED(支間,3)&amp;" 　＝ "</f>
        <v xml:space="preserve">　＝ 1 ／ 8 × 7.250 × 2.100 　＝ </v>
      </c>
      <c r="D56" s="3"/>
      <c r="E56" s="3"/>
      <c r="F56" s="3"/>
      <c r="G56" s="57">
        <f>ROUND(1/8*WW*支間^2,3)</f>
        <v>3.9969999999999999</v>
      </c>
      <c r="H56" s="5" t="s">
        <v>94</v>
      </c>
      <c r="J56" s="3"/>
    </row>
    <row r="57" spans="2:10" x14ac:dyDescent="0.15">
      <c r="B57" s="3"/>
      <c r="C57" s="18"/>
      <c r="D57" s="18"/>
      <c r="E57" s="56"/>
      <c r="F57" s="16"/>
      <c r="G57" s="53"/>
      <c r="H57" s="3"/>
    </row>
    <row r="58" spans="2:10" x14ac:dyDescent="0.15">
      <c r="B58" s="3"/>
      <c r="C58" s="3"/>
      <c r="D58" s="3"/>
      <c r="E58" s="3"/>
      <c r="F58" s="3"/>
      <c r="J58" s="3"/>
    </row>
    <row r="59" spans="2:10" x14ac:dyDescent="0.15">
      <c r="B59" s="3"/>
      <c r="C59" s="3" t="s">
        <v>39</v>
      </c>
      <c r="D59" s="3"/>
      <c r="E59" s="3"/>
      <c r="F59" s="3"/>
      <c r="G59" s="3"/>
      <c r="H59" s="3"/>
      <c r="I59" s="3"/>
      <c r="J59" s="3"/>
    </row>
    <row r="60" spans="2:10" x14ac:dyDescent="0.15">
      <c r="B60" s="3"/>
      <c r="C60" s="3" t="s">
        <v>40</v>
      </c>
      <c r="D60" s="3"/>
      <c r="E60" s="3"/>
      <c r="F60" s="3"/>
      <c r="G60" s="3"/>
      <c r="H60" s="3"/>
      <c r="I60" s="3"/>
      <c r="J60" s="3"/>
    </row>
    <row r="61" spans="2:10" x14ac:dyDescent="0.15">
      <c r="B61" s="3"/>
      <c r="C61" s="3" t="str">
        <f>"   ＝ "&amp;FIXED(MLI,3)&amp;" ＋ "&amp;FIXED(MD,3)&amp;" ＝"</f>
        <v xml:space="preserve">   ＝ 43.360 ＋ 3.997 ＝</v>
      </c>
      <c r="D61" s="3"/>
      <c r="E61" s="3"/>
      <c r="F61" s="1"/>
      <c r="G61" s="58">
        <f>MLI+MD</f>
        <v>47.356999999999999</v>
      </c>
      <c r="H61" s="3" t="s">
        <v>88</v>
      </c>
      <c r="J61" s="3"/>
    </row>
    <row r="62" spans="2:10" x14ac:dyDescent="0.15">
      <c r="B62" s="3"/>
      <c r="C62" s="3"/>
      <c r="D62" s="59"/>
      <c r="E62" s="1"/>
      <c r="F62" s="16"/>
      <c r="G62" s="60"/>
      <c r="H62" s="3"/>
    </row>
    <row r="63" spans="2:10" x14ac:dyDescent="0.15">
      <c r="B63" s="3"/>
      <c r="C63" s="3"/>
      <c r="D63" s="3"/>
      <c r="E63" s="3"/>
      <c r="F63" s="3"/>
      <c r="G63" s="3"/>
    </row>
    <row r="64" spans="2:10" x14ac:dyDescent="0.15">
      <c r="B64" s="3" t="s">
        <v>41</v>
      </c>
      <c r="C64" s="3" t="s">
        <v>42</v>
      </c>
      <c r="D64" s="3"/>
      <c r="E64" s="3"/>
      <c r="F64" s="3"/>
      <c r="G64" s="3"/>
      <c r="H64" s="3"/>
      <c r="I64" s="3"/>
      <c r="J64" s="3"/>
    </row>
    <row r="65" spans="2:10" x14ac:dyDescent="0.15">
      <c r="B65" s="3"/>
      <c r="C65" s="3" t="s">
        <v>131</v>
      </c>
      <c r="D65" s="3"/>
      <c r="E65" s="3"/>
      <c r="F65" s="3"/>
      <c r="G65" s="3"/>
      <c r="H65" s="3"/>
      <c r="I65" s="3"/>
      <c r="J65" s="3"/>
    </row>
    <row r="66" spans="2:10" x14ac:dyDescent="0.15">
      <c r="B66" s="3"/>
      <c r="C66" s="3" t="str">
        <f>"　＝ 0.80 × （ 0.06 × "&amp;FIXED(支間,3)&amp;" ＋ 0.06 ） × 100 ＝"</f>
        <v>　＝ 0.80 × （ 0.06 × 2.100 ＋ 0.06 ） × 100 ＝</v>
      </c>
      <c r="D66" s="3"/>
      <c r="E66" s="3"/>
      <c r="F66" s="3"/>
      <c r="G66" s="3"/>
      <c r="H66" s="58">
        <f>ROUND(0.8*(0.06*支間+0.06)*100,3)</f>
        <v>14.88</v>
      </c>
      <c r="I66" s="3" t="s">
        <v>88</v>
      </c>
      <c r="J66" s="3"/>
    </row>
    <row r="67" spans="2:10" x14ac:dyDescent="0.15">
      <c r="B67" s="3"/>
      <c r="C67" s="3"/>
      <c r="D67" s="19"/>
      <c r="E67" s="69"/>
      <c r="F67" s="68"/>
      <c r="G67" s="61"/>
      <c r="H67" s="53"/>
      <c r="I67" s="3"/>
    </row>
    <row r="69" spans="2:10" x14ac:dyDescent="0.15">
      <c r="H69" s="61"/>
      <c r="I69" s="53"/>
      <c r="J69" s="3"/>
    </row>
    <row r="70" spans="2:10" x14ac:dyDescent="0.15">
      <c r="B70" s="3" t="s">
        <v>43</v>
      </c>
      <c r="C70" s="3"/>
      <c r="D70" s="3"/>
      <c r="E70" s="3"/>
      <c r="F70" s="3"/>
      <c r="G70" s="3"/>
      <c r="H70" s="3"/>
      <c r="I70" s="3"/>
      <c r="J70" s="3"/>
    </row>
    <row r="71" spans="2:10" x14ac:dyDescent="0.15">
      <c r="B71" s="3"/>
      <c r="C71" s="3"/>
      <c r="D71" s="3"/>
      <c r="E71" s="3"/>
      <c r="F71" s="3"/>
      <c r="G71" s="3"/>
      <c r="H71" s="3"/>
      <c r="I71" s="3"/>
      <c r="J71" s="3"/>
    </row>
    <row r="72" spans="2:10" x14ac:dyDescent="0.15">
      <c r="B72" s="3" t="s">
        <v>22</v>
      </c>
      <c r="C72" s="3" t="s">
        <v>44</v>
      </c>
      <c r="D72" s="3"/>
      <c r="E72" s="3"/>
      <c r="F72" s="3"/>
      <c r="G72" s="3"/>
      <c r="H72" s="3"/>
      <c r="I72" s="3"/>
      <c r="J72" s="3"/>
    </row>
    <row r="73" spans="2:10" x14ac:dyDescent="0.15">
      <c r="B73" s="3"/>
      <c r="C73" s="3"/>
      <c r="D73" s="3"/>
      <c r="E73" s="20"/>
      <c r="F73" s="3" t="s">
        <v>45</v>
      </c>
      <c r="G73" s="3"/>
      <c r="H73" s="3"/>
      <c r="I73" s="3"/>
      <c r="J73" s="3"/>
    </row>
    <row r="74" spans="2:10" x14ac:dyDescent="0.15">
      <c r="B74" s="3"/>
      <c r="C74" s="3" t="s">
        <v>46</v>
      </c>
      <c r="D74" s="3" t="s">
        <v>47</v>
      </c>
      <c r="E74" s="3"/>
      <c r="F74" s="3"/>
      <c r="G74" s="3"/>
      <c r="H74" s="3"/>
      <c r="I74" s="3"/>
      <c r="J74" s="3"/>
    </row>
    <row r="75" spans="2:10" x14ac:dyDescent="0.15">
      <c r="B75" s="3"/>
      <c r="C75" s="3"/>
      <c r="D75" s="3"/>
      <c r="E75" s="16" t="s">
        <v>48</v>
      </c>
      <c r="F75" s="21">
        <f>ROUND((15*σca+σsa)/(15*σca)*SQRT(6*15/(2*15*σca+3*σsa)),3)</f>
        <v>0.8</v>
      </c>
      <c r="G75" s="3"/>
      <c r="H75" s="3"/>
      <c r="I75" s="3"/>
      <c r="J75" s="3"/>
    </row>
    <row r="76" spans="2:10" x14ac:dyDescent="0.15">
      <c r="B76" s="3"/>
      <c r="C76" s="3"/>
      <c r="D76" s="3"/>
      <c r="E76" s="3"/>
      <c r="F76" s="3" t="s">
        <v>49</v>
      </c>
      <c r="G76" s="20"/>
      <c r="H76" s="3"/>
      <c r="I76" s="3"/>
      <c r="J76" s="3"/>
    </row>
    <row r="77" spans="2:10" x14ac:dyDescent="0.15">
      <c r="B77" s="3"/>
      <c r="C77" s="3" t="s">
        <v>50</v>
      </c>
      <c r="D77" s="22">
        <f>_CC1</f>
        <v>0.8</v>
      </c>
      <c r="E77" s="3" t="s">
        <v>51</v>
      </c>
      <c r="F77" s="58">
        <f>_M1</f>
        <v>47.356999999999999</v>
      </c>
      <c r="G77" s="3" t="s">
        <v>97</v>
      </c>
      <c r="H77" s="1"/>
      <c r="I77" s="4">
        <f>_CC1*SQRT(_M1*1000/100)</f>
        <v>17.409330831482293</v>
      </c>
      <c r="J77" s="3" t="s">
        <v>12</v>
      </c>
    </row>
    <row r="78" spans="2:10" x14ac:dyDescent="0.15">
      <c r="B78" s="3"/>
      <c r="C78" s="16" t="s">
        <v>52</v>
      </c>
      <c r="D78" s="78">
        <v>7</v>
      </c>
      <c r="E78" s="1" t="s">
        <v>53</v>
      </c>
      <c r="F78" s="48">
        <f>H</f>
        <v>25</v>
      </c>
      <c r="G78" s="1" t="s">
        <v>54</v>
      </c>
      <c r="H78" s="23">
        <f>F78-D78</f>
        <v>18</v>
      </c>
      <c r="I78" s="24" t="s">
        <v>55</v>
      </c>
    </row>
    <row r="79" spans="2:10" x14ac:dyDescent="0.15">
      <c r="B79" s="3"/>
      <c r="C79" s="3"/>
      <c r="D79" s="3"/>
      <c r="E79" s="3"/>
      <c r="F79" s="3"/>
      <c r="G79" s="3"/>
      <c r="H79" s="3"/>
      <c r="I79" s="3"/>
      <c r="J79" s="3"/>
    </row>
    <row r="80" spans="2:10" x14ac:dyDescent="0.15">
      <c r="B80" s="3" t="s">
        <v>41</v>
      </c>
      <c r="C80" s="3" t="s">
        <v>56</v>
      </c>
      <c r="D80" s="3"/>
      <c r="E80" s="3"/>
      <c r="F80" s="3"/>
      <c r="G80" s="3"/>
      <c r="H80" s="3"/>
      <c r="I80" s="3"/>
      <c r="J80" s="3"/>
    </row>
    <row r="81" spans="2:10" x14ac:dyDescent="0.15">
      <c r="B81" s="3"/>
      <c r="C81" s="3"/>
      <c r="D81" s="3"/>
      <c r="E81" s="3"/>
      <c r="F81" s="3" t="s">
        <v>57</v>
      </c>
      <c r="G81" s="3"/>
      <c r="H81" s="3"/>
      <c r="I81" s="3"/>
      <c r="J81" s="3"/>
    </row>
    <row r="82" spans="2:10" x14ac:dyDescent="0.15">
      <c r="B82" s="3"/>
      <c r="C82" s="3"/>
      <c r="D82" s="3" t="s">
        <v>58</v>
      </c>
      <c r="E82" s="3"/>
      <c r="F82" s="3"/>
      <c r="G82" s="3"/>
      <c r="H82" s="3"/>
      <c r="I82" s="3"/>
      <c r="J82" s="3"/>
    </row>
    <row r="83" spans="2:10" x14ac:dyDescent="0.15">
      <c r="B83" s="3"/>
      <c r="C83" s="3"/>
      <c r="E83" s="16" t="s">
        <v>59</v>
      </c>
      <c r="F83" s="25">
        <f>ROUND(σca/(2*σsa)*SQRT(6*15/(2*15*σca+3*σsa)),5)</f>
        <v>1.055E-2</v>
      </c>
      <c r="G83" s="3"/>
      <c r="H83" s="3"/>
      <c r="I83" s="3"/>
      <c r="J83" s="3"/>
    </row>
    <row r="84" spans="2:10" x14ac:dyDescent="0.15">
      <c r="B84" s="3"/>
      <c r="C84" s="3"/>
      <c r="D84" s="3"/>
      <c r="E84" s="3"/>
      <c r="F84" s="3" t="s">
        <v>49</v>
      </c>
      <c r="G84" s="20"/>
      <c r="H84" s="3"/>
      <c r="I84" s="3"/>
      <c r="J84" s="3"/>
    </row>
    <row r="85" spans="2:10" x14ac:dyDescent="0.15">
      <c r="B85" s="3"/>
      <c r="C85" s="3" t="s">
        <v>60</v>
      </c>
      <c r="D85" s="26">
        <f>_CC2</f>
        <v>1.055E-2</v>
      </c>
      <c r="E85" s="1" t="s">
        <v>51</v>
      </c>
      <c r="F85" s="56">
        <f>_M1</f>
        <v>47.356999999999999</v>
      </c>
      <c r="G85" s="103" t="s">
        <v>95</v>
      </c>
      <c r="H85" s="103"/>
      <c r="I85" s="4">
        <f>_CC2*SQRT(_M1*1000*100)</f>
        <v>22.958555034017277</v>
      </c>
      <c r="J85" s="3" t="s">
        <v>61</v>
      </c>
    </row>
    <row r="86" spans="2:10" x14ac:dyDescent="0.15">
      <c r="B86" s="3"/>
      <c r="C86" s="3"/>
      <c r="D86" s="3"/>
      <c r="E86" s="3"/>
      <c r="F86" s="3"/>
      <c r="G86" s="3"/>
      <c r="H86" s="3"/>
      <c r="I86" s="3"/>
      <c r="J86" s="3"/>
    </row>
    <row r="87" spans="2:10" x14ac:dyDescent="0.15">
      <c r="C87" s="16" t="s">
        <v>62</v>
      </c>
      <c r="D87" s="79">
        <v>22</v>
      </c>
      <c r="E87" s="80">
        <v>15</v>
      </c>
      <c r="F87" s="24" t="s">
        <v>63</v>
      </c>
      <c r="G87" s="3"/>
      <c r="H87" s="3"/>
    </row>
    <row r="88" spans="2:10" ht="14.25" hidden="1" x14ac:dyDescent="0.15">
      <c r="C88" s="49"/>
      <c r="D88" s="50">
        <f>IF(D87&lt;23,LOOKUP(D87,鉄筋表1),LOOKUP(D87,鉄筋表2))</f>
        <v>3.871</v>
      </c>
      <c r="E88" s="3"/>
      <c r="F88" s="3"/>
      <c r="G88" s="3"/>
    </row>
    <row r="89" spans="2:10" x14ac:dyDescent="0.15">
      <c r="C89" s="3" t="s">
        <v>64</v>
      </c>
      <c r="D89" s="4">
        <f>ROUND(100/E87*D88,2)</f>
        <v>25.81</v>
      </c>
      <c r="E89" s="13" t="str">
        <f>IF(D89&gt;I85,"＞Ａｓ＝","＜Ａｓ＝")</f>
        <v>＞Ａｓ＝</v>
      </c>
      <c r="F89" s="4">
        <f>I85</f>
        <v>22.958555034017277</v>
      </c>
      <c r="G89" s="3" t="s">
        <v>61</v>
      </c>
      <c r="H89" s="27" t="str">
        <f>IF(D89&gt;I85,"ＯＫ！","ＮＯ！")</f>
        <v>ＯＫ！</v>
      </c>
    </row>
    <row r="90" spans="2:10" x14ac:dyDescent="0.15">
      <c r="C90" s="3"/>
      <c r="D90" s="3"/>
      <c r="E90" s="3"/>
      <c r="F90" s="3"/>
      <c r="G90" s="3"/>
    </row>
    <row r="91" spans="2:10" x14ac:dyDescent="0.15">
      <c r="C91" s="3"/>
      <c r="D91" s="3"/>
      <c r="E91" s="3"/>
      <c r="F91" s="3"/>
      <c r="G91" s="3"/>
    </row>
    <row r="92" spans="2:10" x14ac:dyDescent="0.15">
      <c r="B92" s="3" t="s">
        <v>65</v>
      </c>
      <c r="C92" s="3" t="s">
        <v>66</v>
      </c>
      <c r="D92" s="3"/>
      <c r="E92" s="3"/>
      <c r="F92" s="3"/>
      <c r="G92" s="3"/>
      <c r="H92" s="3"/>
      <c r="I92" s="3"/>
      <c r="J92" s="3"/>
    </row>
    <row r="93" spans="2:10" x14ac:dyDescent="0.15">
      <c r="B93" s="3"/>
      <c r="C93" s="3"/>
      <c r="D93" s="3"/>
      <c r="E93" s="3"/>
      <c r="F93" s="3" t="s">
        <v>57</v>
      </c>
      <c r="G93" s="3"/>
      <c r="H93" s="3"/>
      <c r="I93" s="3"/>
      <c r="J93" s="3"/>
    </row>
    <row r="94" spans="2:10" x14ac:dyDescent="0.15">
      <c r="B94" s="3"/>
      <c r="C94" s="3"/>
      <c r="D94" s="3" t="s">
        <v>67</v>
      </c>
      <c r="E94" s="3"/>
      <c r="F94" s="3"/>
      <c r="G94" s="3"/>
      <c r="H94" s="3"/>
      <c r="I94" s="3"/>
      <c r="J94" s="3"/>
    </row>
    <row r="95" spans="2:10" x14ac:dyDescent="0.15">
      <c r="B95" s="3"/>
      <c r="C95" s="3"/>
      <c r="E95" s="16" t="s">
        <v>59</v>
      </c>
      <c r="F95" s="25">
        <f>ROUND(σca/(2*σsa)*SQRT(6*15/(2*15*σca+3*σsa)),5)</f>
        <v>1.055E-2</v>
      </c>
      <c r="G95" s="3"/>
      <c r="H95" s="3"/>
      <c r="I95" s="3"/>
      <c r="J95" s="3"/>
    </row>
    <row r="96" spans="2:10" x14ac:dyDescent="0.15">
      <c r="B96" s="3"/>
      <c r="C96" s="3"/>
      <c r="D96" s="3"/>
      <c r="E96" s="3"/>
      <c r="F96" s="3" t="s">
        <v>49</v>
      </c>
      <c r="G96" s="20"/>
      <c r="H96" s="3"/>
      <c r="I96" s="3"/>
      <c r="J96" s="3"/>
    </row>
    <row r="97" spans="2:10" x14ac:dyDescent="0.15">
      <c r="B97" s="3"/>
      <c r="C97" s="3" t="s">
        <v>68</v>
      </c>
      <c r="D97" s="28">
        <f>_CC2</f>
        <v>1.055E-2</v>
      </c>
      <c r="E97" s="1" t="s">
        <v>69</v>
      </c>
      <c r="F97" s="59">
        <f>_M2</f>
        <v>14.88</v>
      </c>
      <c r="G97" s="103" t="s">
        <v>96</v>
      </c>
      <c r="H97" s="103"/>
      <c r="I97" s="4">
        <f>_CC2*SQRT(_M2*1000*100)</f>
        <v>12.869270375588508</v>
      </c>
      <c r="J97" s="3" t="s">
        <v>61</v>
      </c>
    </row>
    <row r="98" spans="2:10" x14ac:dyDescent="0.15">
      <c r="B98" s="3"/>
      <c r="C98" s="3" t="s">
        <v>62</v>
      </c>
      <c r="D98" s="79">
        <v>19</v>
      </c>
      <c r="E98" s="80">
        <v>15</v>
      </c>
      <c r="F98" s="3" t="s">
        <v>70</v>
      </c>
      <c r="G98" s="3"/>
      <c r="H98" s="3"/>
      <c r="I98" s="3"/>
    </row>
    <row r="99" spans="2:10" ht="14.25" hidden="1" x14ac:dyDescent="0.15">
      <c r="B99" s="3"/>
      <c r="C99" s="3"/>
      <c r="D99" s="50">
        <f>IF(D98&lt;23,LOOKUP(D98,鉄筋表1),LOOKUP(D98,鉄筋表2))</f>
        <v>2.8650000000000002</v>
      </c>
      <c r="E99" s="3"/>
      <c r="F99" s="3"/>
      <c r="G99" s="3"/>
      <c r="H99" s="3"/>
      <c r="I99" s="3"/>
    </row>
    <row r="100" spans="2:10" x14ac:dyDescent="0.15">
      <c r="B100" s="3"/>
      <c r="C100" s="3" t="s">
        <v>71</v>
      </c>
      <c r="D100" s="29">
        <f>ROUND(100/E98*D99,2)</f>
        <v>19.100000000000001</v>
      </c>
      <c r="E100" s="13" t="s">
        <v>72</v>
      </c>
      <c r="F100" s="4">
        <f>I97</f>
        <v>12.869270375588508</v>
      </c>
      <c r="G100" s="3" t="s">
        <v>61</v>
      </c>
      <c r="H100" s="27" t="str">
        <f>IF(D100&gt;I97,"ＯＫ！","ＮＯ！")</f>
        <v>ＯＫ！</v>
      </c>
    </row>
    <row r="101" spans="2:10" x14ac:dyDescent="0.15">
      <c r="B101" s="3"/>
      <c r="C101" s="3"/>
      <c r="D101" s="3"/>
      <c r="E101" s="3"/>
      <c r="F101" s="3"/>
      <c r="G101" s="3"/>
      <c r="H101" s="3"/>
      <c r="I101" s="3"/>
    </row>
    <row r="102" spans="2:10" x14ac:dyDescent="0.15">
      <c r="B102" s="3"/>
      <c r="C102" s="3"/>
      <c r="D102" s="3"/>
      <c r="E102" s="3"/>
      <c r="F102" s="3"/>
      <c r="G102" s="3"/>
      <c r="H102" s="3"/>
      <c r="I102" s="3"/>
    </row>
    <row r="103" spans="2:10" x14ac:dyDescent="0.15">
      <c r="B103" s="3" t="s">
        <v>73</v>
      </c>
      <c r="C103" s="3"/>
      <c r="D103" s="3"/>
      <c r="E103" s="3"/>
      <c r="F103" s="3"/>
      <c r="G103" s="3"/>
      <c r="H103" s="3"/>
      <c r="I103" s="3"/>
    </row>
    <row r="104" spans="2:10" x14ac:dyDescent="0.15">
      <c r="B104" s="3"/>
      <c r="C104" s="3"/>
      <c r="D104" s="3"/>
      <c r="E104" s="3"/>
      <c r="F104" s="3"/>
      <c r="G104" s="3"/>
      <c r="H104" s="3"/>
      <c r="I104" s="3"/>
    </row>
    <row r="105" spans="2:10" x14ac:dyDescent="0.15">
      <c r="B105" s="3" t="s">
        <v>22</v>
      </c>
      <c r="C105" s="3" t="s">
        <v>2</v>
      </c>
      <c r="D105" s="3"/>
      <c r="E105" s="3"/>
      <c r="F105" s="3"/>
      <c r="G105" s="3"/>
      <c r="H105" s="3"/>
      <c r="I105" s="3"/>
    </row>
    <row r="106" spans="2:10" x14ac:dyDescent="0.15">
      <c r="B106" s="3"/>
      <c r="C106" s="3"/>
      <c r="D106" s="3"/>
      <c r="E106" s="3"/>
      <c r="F106" s="3"/>
      <c r="G106" s="3"/>
      <c r="H106" s="3"/>
      <c r="I106" s="3"/>
    </row>
    <row r="107" spans="2:10" x14ac:dyDescent="0.15">
      <c r="C107" s="3" t="s">
        <v>74</v>
      </c>
      <c r="D107" s="3"/>
      <c r="E107" s="3"/>
      <c r="F107" s="3"/>
      <c r="G107" s="3"/>
      <c r="H107" s="3"/>
      <c r="I107" s="3"/>
    </row>
    <row r="108" spans="2:10" x14ac:dyDescent="0.15">
      <c r="C108" s="3" t="str">
        <f>"　＝ "&amp;FIXED(AS,2)&amp;" ／ （ 100 × "&amp;FIXED(SD,0)&amp;"） ＝"</f>
        <v>　＝ 25.81 ／ （ 100 × 18） ＝</v>
      </c>
      <c r="D108" s="3"/>
      <c r="E108" s="3"/>
      <c r="F108" s="30">
        <f>ROUND(AS/(100*SD),4)</f>
        <v>1.43E-2</v>
      </c>
      <c r="G108" s="3"/>
      <c r="H108" s="3"/>
      <c r="I108" s="3"/>
    </row>
    <row r="109" spans="2:10" x14ac:dyDescent="0.15">
      <c r="B109" s="3"/>
      <c r="C109" s="16" t="s">
        <v>75</v>
      </c>
      <c r="D109" s="21">
        <f>ROUND(SQRT(2*15*F108+(15*F108)^2)-15*F108,3)</f>
        <v>0.47499999999999998</v>
      </c>
      <c r="E109" s="3"/>
      <c r="F109" s="3"/>
      <c r="G109" s="3"/>
      <c r="H109" s="3"/>
      <c r="I109" s="3"/>
    </row>
    <row r="110" spans="2:10" x14ac:dyDescent="0.15">
      <c r="B110" s="3"/>
      <c r="C110" s="16" t="s">
        <v>76</v>
      </c>
      <c r="D110" s="21">
        <f>ROUND(1-K/3,3)</f>
        <v>0.84199999999999997</v>
      </c>
      <c r="E110" s="3"/>
      <c r="F110" s="3"/>
      <c r="G110" s="3"/>
      <c r="H110" s="3"/>
    </row>
    <row r="112" spans="2:10" x14ac:dyDescent="0.15">
      <c r="B112" s="3"/>
      <c r="C112" s="3" t="s">
        <v>77</v>
      </c>
      <c r="D112" s="3"/>
      <c r="E112" s="3"/>
      <c r="F112" s="3"/>
      <c r="G112" s="3"/>
      <c r="H112" s="3"/>
      <c r="I112" s="3"/>
    </row>
    <row r="113" spans="2:10" x14ac:dyDescent="0.15">
      <c r="B113" s="3"/>
      <c r="C113" s="3"/>
      <c r="D113" s="3"/>
      <c r="E113" s="3"/>
      <c r="F113" s="3"/>
      <c r="G113" s="3"/>
      <c r="H113" s="3"/>
      <c r="I113" s="3"/>
    </row>
    <row r="114" spans="2:10" x14ac:dyDescent="0.15">
      <c r="C114" s="3" t="s">
        <v>78</v>
      </c>
      <c r="D114" s="3"/>
      <c r="E114" s="3"/>
      <c r="F114" s="3"/>
      <c r="G114" s="3"/>
      <c r="H114" s="3"/>
      <c r="I114" s="3"/>
    </row>
    <row r="115" spans="2:10" x14ac:dyDescent="0.15">
      <c r="C115" s="3" t="str">
        <f>"　＝ "&amp;FIXED(_M1,3)&amp;" × 1000 ／ （ "&amp;FIXED(AS,2)&amp;" × "&amp;FIXED(J,3)&amp;" × "&amp;FIXED(SD,0)&amp;" ） ＝"</f>
        <v>　＝ 47.357 × 1000 ／ （ 25.81 × 0.842 × 18 ） ＝</v>
      </c>
      <c r="D115" s="3"/>
      <c r="E115" s="3"/>
      <c r="F115" s="3"/>
      <c r="G115" s="3"/>
      <c r="H115" s="63">
        <f>ROUND(_M1*1000/(AS*J*SD),1)</f>
        <v>121.1</v>
      </c>
      <c r="I115" s="3"/>
    </row>
    <row r="116" spans="2:10" ht="15.75" x14ac:dyDescent="0.15">
      <c r="B116" s="3"/>
      <c r="C116" s="3"/>
      <c r="D116" s="3"/>
      <c r="E116" s="3"/>
      <c r="F116" s="3"/>
      <c r="G116" s="16" t="str">
        <f>IF(σs&lt;σsa,"＜","＞")</f>
        <v>＜</v>
      </c>
      <c r="H116" s="15">
        <f>σsa</f>
        <v>140</v>
      </c>
      <c r="I116" s="72" t="s">
        <v>99</v>
      </c>
      <c r="J116" s="31" t="str">
        <f>IF(H115&lt;σsa,"ＯＫ！","ＮＯ！")</f>
        <v>ＯＫ！</v>
      </c>
    </row>
    <row r="117" spans="2:10" x14ac:dyDescent="0.15">
      <c r="B117" s="3"/>
      <c r="C117" s="3"/>
      <c r="D117" s="3"/>
      <c r="E117" s="3"/>
      <c r="F117" s="3"/>
      <c r="G117" s="3"/>
      <c r="H117" s="3"/>
      <c r="I117" s="3"/>
    </row>
    <row r="118" spans="2:10" x14ac:dyDescent="0.15">
      <c r="B118" s="3"/>
      <c r="C118" s="3" t="s">
        <v>79</v>
      </c>
      <c r="D118" s="3"/>
      <c r="E118" s="3"/>
      <c r="F118" s="3"/>
      <c r="G118" s="3"/>
      <c r="H118" s="3"/>
      <c r="I118" s="3"/>
    </row>
    <row r="119" spans="2:10" x14ac:dyDescent="0.15">
      <c r="B119" s="3"/>
      <c r="C119" s="3"/>
      <c r="D119" s="3"/>
      <c r="E119" s="3"/>
      <c r="F119" s="3"/>
      <c r="G119" s="3"/>
      <c r="H119" s="3"/>
      <c r="I119" s="3"/>
    </row>
    <row r="120" spans="2:10" ht="15.75" x14ac:dyDescent="0.15">
      <c r="C120" s="3" t="s">
        <v>103</v>
      </c>
      <c r="D120" s="3"/>
      <c r="E120" s="3"/>
      <c r="F120" s="3"/>
      <c r="G120" s="3"/>
      <c r="H120" s="3"/>
      <c r="I120" s="3"/>
    </row>
    <row r="121" spans="2:10" x14ac:dyDescent="0.15">
      <c r="C121" s="3" t="str">
        <f>"　＝ 2 × "&amp;FIXED(_M1,3)&amp;" × 1000 ／ （ "&amp;FIXED(K,3)&amp;" × "&amp;FIXED(J,3)&amp;" × 100 × "&amp;FIXED(SD,0)&amp;" 　） ＝"</f>
        <v>　＝ 2 × 47.357 × 1000 ／ （ 0.475 × 0.842 × 100 × 18 　） ＝</v>
      </c>
      <c r="D121" s="3"/>
      <c r="E121" s="3"/>
      <c r="F121" s="3"/>
      <c r="G121" s="3"/>
      <c r="H121" s="3"/>
      <c r="I121" s="3"/>
      <c r="J121" s="62">
        <f>ROUND(2*_M1*1000/(K*J*100*SD^2),1)</f>
        <v>7.3</v>
      </c>
    </row>
    <row r="122" spans="2:10" ht="15.75" x14ac:dyDescent="0.15">
      <c r="B122" s="3"/>
      <c r="C122" s="3"/>
      <c r="D122" s="3"/>
      <c r="E122" s="3"/>
      <c r="F122" s="3"/>
      <c r="G122" s="16" t="str">
        <f>IF(σc&lt;σca,"＜","＞")</f>
        <v>＜</v>
      </c>
      <c r="H122" s="15">
        <f>σca</f>
        <v>8</v>
      </c>
      <c r="I122" s="72" t="s">
        <v>99</v>
      </c>
      <c r="J122" s="31" t="str">
        <f>IF(J121&lt;σca,"ＯＫ！","ＮＯ！")</f>
        <v>ＯＫ！</v>
      </c>
    </row>
    <row r="123" spans="2:10" x14ac:dyDescent="0.15">
      <c r="B123" s="3"/>
      <c r="C123" s="3"/>
      <c r="D123" s="3"/>
      <c r="E123" s="3"/>
      <c r="F123" s="3"/>
      <c r="G123" s="3"/>
      <c r="H123" s="3"/>
      <c r="I123" s="3"/>
    </row>
    <row r="124" spans="2:10" x14ac:dyDescent="0.15">
      <c r="B124" s="3" t="s">
        <v>41</v>
      </c>
      <c r="C124" s="3" t="s">
        <v>80</v>
      </c>
      <c r="D124" s="3"/>
      <c r="E124" s="3"/>
      <c r="F124" s="3"/>
      <c r="G124" s="3"/>
      <c r="H124" s="3"/>
      <c r="I124" s="3"/>
    </row>
    <row r="125" spans="2:10" x14ac:dyDescent="0.15">
      <c r="B125" s="3"/>
      <c r="C125" s="3"/>
      <c r="D125" s="3"/>
      <c r="E125" s="3"/>
      <c r="F125" s="3"/>
      <c r="G125" s="3"/>
      <c r="H125" s="3"/>
      <c r="I125" s="3"/>
    </row>
    <row r="126" spans="2:10" x14ac:dyDescent="0.15">
      <c r="C126" s="3" t="s">
        <v>81</v>
      </c>
      <c r="D126" s="3"/>
      <c r="E126" s="3"/>
      <c r="F126" s="3"/>
      <c r="G126" s="3"/>
      <c r="H126" s="3"/>
      <c r="I126" s="3"/>
    </row>
    <row r="127" spans="2:10" x14ac:dyDescent="0.15">
      <c r="C127" s="3" t="str">
        <f>"　＝ "&amp;FIXED(FS,2)&amp;" ／ （ 100 × "&amp;FIXED(SD,1)&amp;"） ＝"</f>
        <v>　＝ 19.10 ／ （ 100 × 18.0） ＝</v>
      </c>
      <c r="D127" s="3"/>
      <c r="E127" s="3"/>
      <c r="G127" s="30">
        <f>ROUND(FS/(100*SD),4)</f>
        <v>1.06E-2</v>
      </c>
      <c r="H127" s="3"/>
      <c r="I127" s="3"/>
    </row>
    <row r="128" spans="2:10" x14ac:dyDescent="0.15">
      <c r="B128" s="3"/>
      <c r="C128" s="16" t="s">
        <v>75</v>
      </c>
      <c r="D128" s="21">
        <f>ROUND(SQRT(2*15*G127+(15*G127)^2)-15*G127,3)</f>
        <v>0.42699999999999999</v>
      </c>
      <c r="E128" s="3"/>
      <c r="F128" s="3"/>
      <c r="G128" s="3"/>
      <c r="H128" s="3"/>
      <c r="I128" s="3"/>
    </row>
    <row r="129" spans="2:10" x14ac:dyDescent="0.15">
      <c r="B129" s="3"/>
      <c r="C129" s="16" t="s">
        <v>76</v>
      </c>
      <c r="D129" s="21">
        <f>ROUND(1-_k2/3,3)</f>
        <v>0.85799999999999998</v>
      </c>
      <c r="E129" s="3"/>
      <c r="F129" s="3"/>
      <c r="G129" s="3"/>
      <c r="H129" s="3"/>
      <c r="I129" s="3"/>
    </row>
    <row r="130" spans="2:10" x14ac:dyDescent="0.15">
      <c r="B130" s="3"/>
      <c r="C130" s="3"/>
      <c r="D130" s="3"/>
      <c r="E130" s="3"/>
      <c r="F130" s="3"/>
      <c r="G130" s="3"/>
      <c r="H130" s="3"/>
      <c r="I130" s="3"/>
    </row>
    <row r="131" spans="2:10" x14ac:dyDescent="0.15">
      <c r="B131" s="3"/>
      <c r="C131" s="3"/>
      <c r="D131" s="3"/>
      <c r="E131" s="3"/>
      <c r="F131" s="3"/>
      <c r="G131" s="3"/>
      <c r="H131" s="3"/>
      <c r="I131" s="3"/>
    </row>
    <row r="132" spans="2:10" x14ac:dyDescent="0.15">
      <c r="B132" s="3"/>
      <c r="C132" s="3" t="s">
        <v>82</v>
      </c>
      <c r="D132" s="3"/>
      <c r="E132" s="3"/>
      <c r="F132" s="3"/>
      <c r="G132" s="3"/>
      <c r="H132" s="3"/>
      <c r="I132" s="3"/>
    </row>
    <row r="133" spans="2:10" x14ac:dyDescent="0.15">
      <c r="C133" s="3" t="s">
        <v>83</v>
      </c>
      <c r="D133" s="3"/>
      <c r="E133" s="3"/>
      <c r="F133" s="3"/>
      <c r="G133" s="3"/>
      <c r="H133" s="3"/>
      <c r="I133" s="3"/>
    </row>
    <row r="134" spans="2:10" x14ac:dyDescent="0.15">
      <c r="C134" s="3" t="str">
        <f>"　＝ "&amp;FIXED(_M2,3)&amp;" × 1000 ／ （ "&amp;FIXED(FS,2)&amp;" × "&amp;FIXED(_j2,3)&amp;" × "&amp;FIXED(SD,1)&amp;" ） ＝"</f>
        <v>　＝ 14.880 × 1000 ／ （ 19.10 × 0.858 × 18.0 ） ＝</v>
      </c>
      <c r="D134" s="3"/>
      <c r="E134" s="3"/>
      <c r="F134" s="3"/>
      <c r="G134" s="3"/>
      <c r="I134" s="64">
        <f>ROUND(_M2*1000/(FS*_j2*SD),1)</f>
        <v>50.4</v>
      </c>
    </row>
    <row r="135" spans="2:10" ht="15.75" x14ac:dyDescent="0.15">
      <c r="B135" s="3"/>
      <c r="C135" s="3"/>
      <c r="D135" s="3"/>
      <c r="E135" s="3"/>
      <c r="F135" s="3"/>
      <c r="G135" s="16" t="str">
        <f>IF(σs2&lt;σsa,"＜","＞")</f>
        <v>＜</v>
      </c>
      <c r="H135" s="15">
        <f>σsa</f>
        <v>140</v>
      </c>
      <c r="I135" s="72" t="s">
        <v>99</v>
      </c>
      <c r="J135" s="31" t="str">
        <f>IF(I134&lt;σsa,"ＯＫ！","ＮＯ！")</f>
        <v>ＯＫ！</v>
      </c>
    </row>
    <row r="136" spans="2:10" x14ac:dyDescent="0.15">
      <c r="B136" s="3"/>
      <c r="C136" s="3"/>
      <c r="D136" s="3"/>
      <c r="E136" s="3"/>
      <c r="F136" s="3"/>
      <c r="G136" s="3"/>
      <c r="H136" s="3"/>
      <c r="I136" s="3"/>
    </row>
    <row r="137" spans="2:10" x14ac:dyDescent="0.15">
      <c r="B137" s="3"/>
      <c r="C137" s="3" t="s">
        <v>79</v>
      </c>
      <c r="D137" s="3"/>
      <c r="E137" s="3"/>
      <c r="F137" s="3"/>
      <c r="G137" s="3"/>
      <c r="H137" s="3"/>
      <c r="I137" s="3"/>
    </row>
    <row r="138" spans="2:10" x14ac:dyDescent="0.15">
      <c r="B138" s="3"/>
      <c r="C138" s="3"/>
      <c r="D138" s="3"/>
      <c r="E138" s="3"/>
      <c r="F138" s="3"/>
      <c r="G138" s="3"/>
      <c r="H138" s="3"/>
      <c r="I138" s="3"/>
    </row>
    <row r="139" spans="2:10" ht="15.75" x14ac:dyDescent="0.15">
      <c r="C139" s="3" t="s">
        <v>104</v>
      </c>
      <c r="D139" s="3"/>
      <c r="E139" s="3"/>
      <c r="F139" s="3"/>
      <c r="G139" s="3"/>
      <c r="H139" s="3"/>
      <c r="I139" s="3"/>
    </row>
    <row r="140" spans="2:10" x14ac:dyDescent="0.15">
      <c r="C140" s="3" t="str">
        <f>"　＝ 2 × "&amp;FIXED(_M2,3)&amp;" × 1000 ／ （ "&amp;FIXED(_k2,3)&amp;" × "&amp;FIXED(_j2,3)&amp;" × 100 × "&amp;FIXED(SD,1)&amp;" 　） ＝"</f>
        <v>　＝ 2 × 14.880 × 1000 ／ （ 0.427 × 0.858 × 100 × 18.0 　） ＝</v>
      </c>
      <c r="D140" s="3"/>
      <c r="E140" s="3"/>
      <c r="F140" s="3"/>
      <c r="G140" s="3"/>
      <c r="H140" s="3"/>
      <c r="I140" s="3"/>
      <c r="J140" s="65">
        <f>ROUND(2*_M2*1000/(_k2*_j2*100*SD^2),1)</f>
        <v>2.5</v>
      </c>
    </row>
    <row r="141" spans="2:10" ht="15.75" x14ac:dyDescent="0.15">
      <c r="B141" s="3"/>
      <c r="C141" s="3"/>
      <c r="D141" s="3"/>
      <c r="E141" s="3"/>
      <c r="F141" s="3"/>
      <c r="G141" s="16" t="str">
        <f>IF(σc2&lt;σca,"＜","＞")</f>
        <v>＜</v>
      </c>
      <c r="H141" s="15">
        <f>σca</f>
        <v>8</v>
      </c>
      <c r="I141" s="72" t="s">
        <v>99</v>
      </c>
      <c r="J141" s="31" t="str">
        <f>IF(J140&lt;σca,"ＯＫ！","ＮＯ！")</f>
        <v>ＯＫ！</v>
      </c>
    </row>
    <row r="142" spans="2:10" x14ac:dyDescent="0.15">
      <c r="B142" s="3"/>
      <c r="C142" s="3"/>
      <c r="D142" s="3"/>
      <c r="E142" s="3"/>
      <c r="F142" s="3"/>
      <c r="G142" s="3"/>
      <c r="H142" s="3"/>
      <c r="I142" s="3"/>
    </row>
    <row r="143" spans="2:10" x14ac:dyDescent="0.15">
      <c r="B143" s="3"/>
      <c r="C143" s="3"/>
      <c r="D143" s="3"/>
      <c r="E143" s="3"/>
      <c r="F143" s="3"/>
      <c r="G143" s="3"/>
      <c r="H143" s="3"/>
      <c r="I143" s="3"/>
    </row>
    <row r="144" spans="2:10" ht="14.25" thickBot="1" x14ac:dyDescent="0.2">
      <c r="B144" s="3"/>
      <c r="C144" s="32" t="s">
        <v>84</v>
      </c>
      <c r="D144" s="33"/>
      <c r="E144" s="32" t="s">
        <v>85</v>
      </c>
      <c r="F144" s="34"/>
      <c r="G144" s="35"/>
      <c r="H144" s="36"/>
      <c r="I144" s="3"/>
    </row>
    <row r="145" spans="2:10" ht="14.25" thickBot="1" x14ac:dyDescent="0.2">
      <c r="B145" s="37"/>
      <c r="C145" s="38" t="s">
        <v>86</v>
      </c>
      <c r="D145" s="38">
        <v>10</v>
      </c>
      <c r="E145" s="38">
        <v>13</v>
      </c>
      <c r="F145" s="38">
        <v>16</v>
      </c>
      <c r="G145" s="38">
        <v>19</v>
      </c>
      <c r="H145" s="38">
        <v>22</v>
      </c>
      <c r="I145" s="39"/>
    </row>
    <row r="146" spans="2:10" ht="14.25" thickBot="1" x14ac:dyDescent="0.2">
      <c r="B146" s="37"/>
      <c r="C146" s="38" t="s">
        <v>87</v>
      </c>
      <c r="D146" s="40">
        <v>0.71330000000000005</v>
      </c>
      <c r="E146" s="41">
        <v>1.2669999999999999</v>
      </c>
      <c r="F146" s="41">
        <v>1.986</v>
      </c>
      <c r="G146" s="41">
        <v>2.8650000000000002</v>
      </c>
      <c r="H146" s="41">
        <v>3.871</v>
      </c>
      <c r="I146" s="42"/>
      <c r="J146" s="43"/>
    </row>
    <row r="147" spans="2:10" ht="14.25" thickBot="1" x14ac:dyDescent="0.2">
      <c r="B147" s="37"/>
      <c r="C147" s="44"/>
      <c r="D147" s="45"/>
      <c r="E147" s="45"/>
      <c r="F147" s="45"/>
      <c r="G147" s="45"/>
      <c r="H147" s="45"/>
      <c r="I147" s="39"/>
    </row>
    <row r="148" spans="2:10" ht="14.25" thickBot="1" x14ac:dyDescent="0.2">
      <c r="B148" s="37"/>
      <c r="C148" s="38" t="s">
        <v>86</v>
      </c>
      <c r="D148" s="38">
        <v>25</v>
      </c>
      <c r="E148" s="38">
        <v>29</v>
      </c>
      <c r="F148" s="38">
        <v>32</v>
      </c>
      <c r="G148" s="38">
        <v>35</v>
      </c>
      <c r="H148" s="38">
        <v>38</v>
      </c>
      <c r="I148" s="39"/>
    </row>
    <row r="149" spans="2:10" ht="14.25" thickBot="1" x14ac:dyDescent="0.2">
      <c r="B149" s="37"/>
      <c r="C149" s="38" t="s">
        <v>87</v>
      </c>
      <c r="D149" s="41">
        <v>5.0670000000000002</v>
      </c>
      <c r="E149" s="41">
        <v>6.4240000000000004</v>
      </c>
      <c r="F149" s="41">
        <v>7.9420000000000002</v>
      </c>
      <c r="G149" s="41">
        <v>9.5660000000000007</v>
      </c>
      <c r="H149" s="46">
        <v>11.4</v>
      </c>
      <c r="I149" s="39"/>
    </row>
    <row r="150" spans="2:10" x14ac:dyDescent="0.15">
      <c r="C150" s="47"/>
      <c r="D150" s="47"/>
      <c r="E150" s="47"/>
      <c r="F150" s="47"/>
      <c r="G150" s="47"/>
      <c r="H150" s="47"/>
    </row>
  </sheetData>
  <sheetProtection algorithmName="SHA-512" hashValue="d1kfiIhDjiptIpXBV8uUZIy2ppgbP5u0xnRl/hEI4nDMEyvGuFu8EEfQ0mye31bXNxjs6bfNZsm2K79WfonUuw==" saltValue="8DJDDMxF3VXVD8cAIu5xxg==" spinCount="100000" sheet="1" objects="1" scenarios="1"/>
  <mergeCells count="2">
    <mergeCell ref="G85:H85"/>
    <mergeCell ref="G97:H97"/>
  </mergeCells>
  <phoneticPr fontId="12"/>
  <printOptions gridLinesSet="0"/>
  <pageMargins left="0.54" right="0.21" top="0.5" bottom="0.5" header="0.5" footer="0.5"/>
  <pageSetup paperSize="9" orientation="portrait" horizontalDpi="4294967292" verticalDpi="0" r:id="rId1"/>
  <headerFooter alignWithMargins="0"/>
  <rowBreaks count="2" manualBreakCount="2">
    <brk id="58" min="1" max="9" man="1"/>
    <brk id="112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19"/>
  <sheetViews>
    <sheetView showGridLines="0" defaultGridColor="0" view="pageBreakPreview" colorId="8" zoomScaleNormal="100" zoomScaleSheetLayoutView="100" workbookViewId="0">
      <selection activeCell="H19" sqref="H19"/>
    </sheetView>
  </sheetViews>
  <sheetFormatPr defaultRowHeight="13.5" x14ac:dyDescent="0.15"/>
  <cols>
    <col min="1" max="1" width="4.625" style="72" customWidth="1"/>
    <col min="2" max="10" width="10.5" style="72" customWidth="1"/>
    <col min="11" max="16384" width="9" style="72"/>
  </cols>
  <sheetData>
    <row r="1" spans="2:12" x14ac:dyDescent="0.15">
      <c r="B1" s="3" t="s">
        <v>111</v>
      </c>
      <c r="C1" s="3"/>
      <c r="D1" s="3"/>
      <c r="E1" s="3"/>
    </row>
    <row r="3" spans="2:12" x14ac:dyDescent="0.15">
      <c r="B3" s="3" t="s">
        <v>1</v>
      </c>
      <c r="C3" s="3"/>
      <c r="D3" s="3"/>
      <c r="E3" s="3"/>
      <c r="F3" s="3"/>
      <c r="G3" s="3"/>
      <c r="H3" s="3"/>
    </row>
    <row r="4" spans="2:12" x14ac:dyDescent="0.15">
      <c r="B4" s="3"/>
      <c r="C4" s="3"/>
      <c r="D4" s="3"/>
      <c r="E4" s="3"/>
      <c r="F4" s="3"/>
      <c r="G4" s="3"/>
      <c r="H4" s="3"/>
    </row>
    <row r="5" spans="2:12" x14ac:dyDescent="0.15">
      <c r="B5"/>
      <c r="C5" s="24" t="s">
        <v>2</v>
      </c>
      <c r="D5" s="1"/>
      <c r="E5" s="84" t="s">
        <v>129</v>
      </c>
      <c r="F5" s="85"/>
    </row>
    <row r="6" spans="2:12" x14ac:dyDescent="0.15">
      <c r="B6"/>
      <c r="C6" s="24" t="s">
        <v>119</v>
      </c>
      <c r="D6" s="3"/>
      <c r="F6" s="3" t="s">
        <v>4</v>
      </c>
      <c r="G6" s="86">
        <f>支間</f>
        <v>2.1</v>
      </c>
      <c r="H6" s="3" t="s">
        <v>123</v>
      </c>
      <c r="I6" s="3"/>
      <c r="J6" s="3"/>
    </row>
    <row r="7" spans="2:12" x14ac:dyDescent="0.15">
      <c r="B7"/>
      <c r="C7" s="24" t="s">
        <v>120</v>
      </c>
      <c r="D7" s="3"/>
      <c r="E7" s="3" t="s">
        <v>7</v>
      </c>
      <c r="F7" s="3" t="s">
        <v>8</v>
      </c>
      <c r="G7" s="86">
        <f>幅員</f>
        <v>2</v>
      </c>
      <c r="H7" s="3" t="s">
        <v>123</v>
      </c>
      <c r="I7" s="3"/>
      <c r="J7" s="3"/>
    </row>
    <row r="8" spans="2:12" x14ac:dyDescent="0.15">
      <c r="B8"/>
      <c r="C8" s="24" t="s">
        <v>121</v>
      </c>
      <c r="D8" s="3"/>
      <c r="E8" s="3" t="s">
        <v>10</v>
      </c>
      <c r="F8" s="3" t="s">
        <v>11</v>
      </c>
      <c r="G8" s="87">
        <f>舗装厚</f>
        <v>5</v>
      </c>
      <c r="H8" s="24" t="str">
        <f>IF(舗装種別=1,"cm （アスファルト）","cm （コンクリート）")</f>
        <v>cm （アスファルト）</v>
      </c>
      <c r="J8" s="3"/>
    </row>
    <row r="9" spans="2:12" x14ac:dyDescent="0.15">
      <c r="B9"/>
      <c r="C9" s="24" t="s">
        <v>122</v>
      </c>
      <c r="D9" s="3"/>
      <c r="E9" s="72" t="s">
        <v>14</v>
      </c>
      <c r="F9" s="88"/>
    </row>
    <row r="10" spans="2:12" ht="15.75" x14ac:dyDescent="0.15">
      <c r="B10"/>
      <c r="C10" s="89" t="s">
        <v>118</v>
      </c>
      <c r="D10" s="70" t="s">
        <v>105</v>
      </c>
      <c r="E10" s="3" t="s">
        <v>16</v>
      </c>
      <c r="F10" s="90">
        <f>σca</f>
        <v>8</v>
      </c>
      <c r="G10" s="72" t="s">
        <v>106</v>
      </c>
      <c r="H10" s="91"/>
      <c r="I10" s="3"/>
    </row>
    <row r="11" spans="2:12" ht="15.75" x14ac:dyDescent="0.15">
      <c r="B11" s="3"/>
      <c r="C11" s="3"/>
      <c r="D11" s="71" t="s">
        <v>90</v>
      </c>
      <c r="E11" s="3" t="s">
        <v>17</v>
      </c>
      <c r="F11" s="90">
        <f>σsa</f>
        <v>140</v>
      </c>
      <c r="G11" s="72" t="s">
        <v>107</v>
      </c>
      <c r="H11" s="91"/>
      <c r="I11" s="3"/>
      <c r="K11" s="54"/>
      <c r="L11" s="54"/>
    </row>
    <row r="12" spans="2:12" x14ac:dyDescent="0.15">
      <c r="B12" s="3"/>
      <c r="C12" s="3"/>
      <c r="D12" s="71"/>
      <c r="E12" s="3"/>
      <c r="F12" s="90"/>
      <c r="H12" s="91"/>
      <c r="I12" s="3"/>
      <c r="K12" s="54"/>
      <c r="L12" s="54"/>
    </row>
    <row r="13" spans="2:12" x14ac:dyDescent="0.15">
      <c r="B13" s="3"/>
      <c r="C13" s="3"/>
      <c r="K13" s="54"/>
      <c r="L13" s="54"/>
    </row>
    <row r="14" spans="2:12" x14ac:dyDescent="0.15">
      <c r="B14" s="3"/>
      <c r="C14" s="3"/>
      <c r="K14" s="83" t="str">
        <f>"W＝"&amp;FIXED(幅員,3)&amp;"m"</f>
        <v>W＝2.000m</v>
      </c>
      <c r="L14" s="54"/>
    </row>
    <row r="15" spans="2:12" x14ac:dyDescent="0.15">
      <c r="B15" s="3"/>
      <c r="C15" s="3"/>
      <c r="K15" s="54"/>
      <c r="L15" s="54"/>
    </row>
    <row r="16" spans="2:12" x14ac:dyDescent="0.15">
      <c r="B16" s="3"/>
      <c r="C16" s="3"/>
      <c r="G16" s="84"/>
      <c r="K16" s="54" t="str">
        <f>" t="&amp;FIXED(舗装厚,0)&amp;"cm"</f>
        <v xml:space="preserve"> t=5cm</v>
      </c>
      <c r="L16" s="54"/>
    </row>
    <row r="17" spans="2:12" x14ac:dyDescent="0.15">
      <c r="B17" s="3"/>
      <c r="C17" s="3"/>
      <c r="K17" s="54"/>
      <c r="L17" s="54"/>
    </row>
    <row r="18" spans="2:12" x14ac:dyDescent="0.15">
      <c r="B18" s="3"/>
      <c r="C18" s="3"/>
      <c r="K18" s="54" t="str">
        <f>" h="&amp;FIXED(床版厚,0)&amp;"cm"</f>
        <v xml:space="preserve"> h=25cm</v>
      </c>
      <c r="L18" s="54"/>
    </row>
    <row r="19" spans="2:12" x14ac:dyDescent="0.15">
      <c r="B19" s="3"/>
      <c r="C19" s="3"/>
      <c r="K19" s="54"/>
      <c r="L19" s="54"/>
    </row>
    <row r="20" spans="2:12" x14ac:dyDescent="0.15">
      <c r="B20" s="3"/>
      <c r="C20" s="3"/>
      <c r="K20" s="83" t="str">
        <f>"L＝"&amp;FIXED(支間,3)&amp;"m"</f>
        <v>L＝2.100m</v>
      </c>
      <c r="L20" s="54"/>
    </row>
    <row r="21" spans="2:12" x14ac:dyDescent="0.15">
      <c r="B21" s="3"/>
      <c r="C21" s="3"/>
      <c r="K21" s="54"/>
      <c r="L21" s="54"/>
    </row>
    <row r="22" spans="2:12" x14ac:dyDescent="0.15">
      <c r="B22" s="3" t="s">
        <v>20</v>
      </c>
      <c r="C22" s="3"/>
      <c r="D22" s="3"/>
      <c r="E22" s="3" t="s">
        <v>21</v>
      </c>
      <c r="F22" s="3"/>
      <c r="G22" s="3"/>
      <c r="H22" s="3"/>
      <c r="I22" s="3"/>
      <c r="J22" s="3"/>
    </row>
    <row r="23" spans="2:12" x14ac:dyDescent="0.15">
      <c r="B23" s="3"/>
      <c r="C23" s="3"/>
      <c r="D23" s="3"/>
      <c r="E23" s="3"/>
      <c r="F23" s="3"/>
      <c r="G23" s="3"/>
      <c r="H23" s="3"/>
      <c r="I23" s="3"/>
      <c r="J23" s="3"/>
    </row>
    <row r="24" spans="2:12" x14ac:dyDescent="0.15">
      <c r="B24" s="3" t="s">
        <v>22</v>
      </c>
      <c r="C24" s="3" t="s">
        <v>23</v>
      </c>
      <c r="D24" s="3"/>
      <c r="E24" s="3"/>
      <c r="F24" s="3"/>
      <c r="G24" s="3"/>
      <c r="H24" s="3"/>
      <c r="I24" s="3"/>
      <c r="J24" s="3"/>
    </row>
    <row r="25" spans="2:12" x14ac:dyDescent="0.15">
      <c r="B25" s="3"/>
      <c r="C25" s="3"/>
      <c r="D25" s="3"/>
      <c r="E25" s="3"/>
      <c r="F25" s="3"/>
      <c r="G25" s="3"/>
      <c r="H25" s="3"/>
      <c r="I25" s="3"/>
      <c r="J25" s="3"/>
    </row>
    <row r="26" spans="2:12" x14ac:dyDescent="0.15">
      <c r="B26" s="3"/>
      <c r="C26" s="3" t="s">
        <v>24</v>
      </c>
      <c r="D26" s="3"/>
      <c r="E26" s="3"/>
      <c r="F26" s="3"/>
      <c r="G26" s="3"/>
      <c r="H26" s="3"/>
      <c r="I26" s="3"/>
      <c r="J26" s="3"/>
    </row>
    <row r="27" spans="2:12" x14ac:dyDescent="0.15">
      <c r="B27" s="3"/>
      <c r="C27" s="3" t="s">
        <v>130</v>
      </c>
      <c r="D27" s="3"/>
      <c r="E27" s="3"/>
      <c r="F27" s="3"/>
      <c r="G27" s="3"/>
      <c r="H27" s="3"/>
      <c r="I27" s="3"/>
      <c r="J27" s="3"/>
    </row>
    <row r="28" spans="2:12" x14ac:dyDescent="0.15">
      <c r="B28" s="3"/>
      <c r="C28" s="24" t="s">
        <v>114</v>
      </c>
      <c r="D28" s="3"/>
      <c r="E28" s="3"/>
      <c r="F28" s="3"/>
      <c r="G28" s="3"/>
      <c r="H28" s="3"/>
      <c r="I28" s="3"/>
      <c r="J28" s="3"/>
    </row>
    <row r="29" spans="2:12" x14ac:dyDescent="0.15">
      <c r="B29" s="3"/>
      <c r="C29" s="24" t="s">
        <v>115</v>
      </c>
      <c r="D29" s="3"/>
      <c r="E29" s="3"/>
      <c r="F29" s="3"/>
      <c r="G29" s="3"/>
      <c r="H29" s="11"/>
      <c r="I29" s="3"/>
      <c r="J29" s="3"/>
    </row>
    <row r="30" spans="2:12" x14ac:dyDescent="0.15">
      <c r="B30" s="3"/>
      <c r="C30" s="16"/>
      <c r="D30" s="3"/>
      <c r="E30" s="3"/>
      <c r="F30" s="3"/>
      <c r="G30" s="3"/>
      <c r="H30" s="11"/>
      <c r="I30" s="3"/>
      <c r="J30" s="3"/>
    </row>
    <row r="31" spans="2:12" x14ac:dyDescent="0.15">
      <c r="B31" s="3"/>
      <c r="C31" s="24" t="str">
        <f>"  Ｍli ＝ 0.80 × （ 0.22 × "&amp;FIXED(支間,3)&amp;" ＋ 0.08  ） × 100 ＝ "&amp;FIXED(0.8*(0.22*支間+0.08)*100,3)&amp;"KN・m"</f>
        <v xml:space="preserve">  Ｍli ＝ 0.80 × （ 0.22 × 2.100 ＋ 0.08  ） × 100 ＝ 43.360KN・m</v>
      </c>
      <c r="D31" s="3"/>
      <c r="E31" s="3"/>
      <c r="F31" s="3"/>
      <c r="G31" s="3"/>
      <c r="H31" s="11"/>
      <c r="I31" s="57"/>
      <c r="J31" s="3"/>
    </row>
    <row r="32" spans="2:12" x14ac:dyDescent="0.15">
      <c r="B32" s="3"/>
      <c r="C32" s="3"/>
      <c r="D32" s="12"/>
      <c r="E32" s="1"/>
      <c r="F32" s="14"/>
      <c r="G32" s="3"/>
      <c r="I32" s="92"/>
      <c r="J32" s="3"/>
      <c r="L32" s="3"/>
    </row>
    <row r="33" spans="2:13" x14ac:dyDescent="0.15">
      <c r="B33" s="3"/>
      <c r="C33" s="3"/>
      <c r="D33" s="3"/>
      <c r="E33" s="3"/>
      <c r="F33" s="3"/>
      <c r="G33" s="3"/>
    </row>
    <row r="34" spans="2:13" x14ac:dyDescent="0.15">
      <c r="B34" s="3"/>
      <c r="C34" s="3" t="s">
        <v>28</v>
      </c>
      <c r="D34" s="3"/>
      <c r="E34" s="3"/>
      <c r="F34" s="3"/>
      <c r="G34" s="3"/>
      <c r="H34" s="3"/>
      <c r="I34" s="3"/>
      <c r="J34" s="3"/>
      <c r="L34" s="55"/>
      <c r="M34" s="3"/>
    </row>
    <row r="35" spans="2:13" x14ac:dyDescent="0.15">
      <c r="B35" s="3"/>
      <c r="C35" s="3"/>
      <c r="D35" s="3"/>
      <c r="E35" s="3"/>
      <c r="F35" s="3"/>
      <c r="G35" s="3"/>
      <c r="H35" s="3"/>
      <c r="I35" s="3"/>
      <c r="J35" s="3"/>
    </row>
    <row r="36" spans="2:13" x14ac:dyDescent="0.15">
      <c r="C36" s="24" t="str">
        <f>"　スラブ厚　ｈ＝"&amp;FIXED(床版厚,0)&amp;"cm"</f>
        <v>　スラブ厚　ｈ＝25cm</v>
      </c>
      <c r="E36" s="93"/>
      <c r="F36" s="3"/>
      <c r="G36" s="3"/>
      <c r="H36" s="3"/>
      <c r="I36" s="3"/>
      <c r="J36" s="3"/>
    </row>
    <row r="37" spans="2:13" x14ac:dyDescent="0.15">
      <c r="C37" s="3" t="s">
        <v>30</v>
      </c>
      <c r="D37" s="3"/>
      <c r="E37" s="3"/>
      <c r="F37" s="3"/>
      <c r="G37" s="3"/>
      <c r="H37" s="3"/>
      <c r="I37" s="3"/>
      <c r="J37" s="3"/>
    </row>
    <row r="38" spans="2:13" x14ac:dyDescent="0.15">
      <c r="C38" s="24" t="str">
        <f>IF(舗装種別=1,"　舗      装　(ｱｽﾌｧﾙﾄ)","　舗      装　(ｺﾝｸﾘｰﾄ)")</f>
        <v>　舗      装　(ｱｽﾌｧﾙﾄ)</v>
      </c>
      <c r="D38" s="3"/>
      <c r="E38" s="16"/>
      <c r="G38" s="16" t="str">
        <f>"Ｗ1 ＝ "&amp;FIXED(IF(舗装種別=1,ROUND(舗装厚/100*22.5,3),ROUND(舗装厚/100*23,3)),3)&amp;" KN／㎡"</f>
        <v>Ｗ1 ＝ 1.125 KN／㎡</v>
      </c>
      <c r="H38" s="3"/>
      <c r="I38" s="94" t="str">
        <f>IF(舗装種別=1,"(22.5 KN/m3） ","(23 KN/m3） ")</f>
        <v xml:space="preserve">(22.5 KN/m3） </v>
      </c>
      <c r="J38" s="3"/>
    </row>
    <row r="39" spans="2:13" x14ac:dyDescent="0.15">
      <c r="C39" s="3"/>
      <c r="D39" s="3"/>
      <c r="E39" s="3"/>
      <c r="F39" s="16"/>
      <c r="G39" s="95"/>
      <c r="H39" s="3"/>
      <c r="I39" s="94"/>
      <c r="J39" s="3"/>
    </row>
    <row r="40" spans="2:13" ht="14.25" x14ac:dyDescent="0.15">
      <c r="C40" s="3" t="s">
        <v>33</v>
      </c>
      <c r="D40" s="3"/>
      <c r="E40" s="3"/>
      <c r="G40" s="16" t="str">
        <f>"Ｗ2 ＝ "&amp;FIXED(床版厚/100*24.5,3)&amp;" KN／㎡"</f>
        <v>Ｗ2 ＝ 6.125 KN／㎡</v>
      </c>
      <c r="H40" s="3"/>
      <c r="I40" s="94" t="s">
        <v>117</v>
      </c>
      <c r="J40" s="3"/>
    </row>
    <row r="41" spans="2:13" x14ac:dyDescent="0.15">
      <c r="C41" s="3"/>
      <c r="D41" s="3"/>
      <c r="E41" s="3"/>
      <c r="F41" s="16"/>
      <c r="G41" s="96"/>
      <c r="H41" s="3"/>
      <c r="I41" s="94"/>
      <c r="J41" s="3"/>
    </row>
    <row r="42" spans="2:13" x14ac:dyDescent="0.15">
      <c r="C42" s="3"/>
      <c r="D42" s="3"/>
      <c r="E42" s="24" t="s">
        <v>116</v>
      </c>
      <c r="G42" s="16" t="str">
        <f>"Ｗ  ＝ "&amp;FIXED(WW,3)&amp;" KN／㎡"</f>
        <v>Ｗ  ＝ 7.250 KN／㎡</v>
      </c>
      <c r="H42" s="3"/>
      <c r="I42" s="3"/>
      <c r="J42" s="3"/>
    </row>
    <row r="43" spans="2:13" x14ac:dyDescent="0.15">
      <c r="C43" s="3"/>
      <c r="D43" s="3"/>
      <c r="E43" s="3"/>
      <c r="F43" s="16"/>
      <c r="G43" s="96"/>
      <c r="H43" s="3"/>
      <c r="I43" s="3"/>
      <c r="J43" s="3"/>
    </row>
    <row r="44" spans="2:13" x14ac:dyDescent="0.15">
      <c r="C44" s="3"/>
      <c r="D44" s="3"/>
      <c r="F44" s="3"/>
      <c r="G44" s="3"/>
      <c r="H44" s="3"/>
      <c r="I44" s="3"/>
      <c r="J44" s="3"/>
    </row>
    <row r="45" spans="2:13" x14ac:dyDescent="0.15">
      <c r="B45" s="3"/>
      <c r="C45" s="3" t="s">
        <v>37</v>
      </c>
      <c r="D45" s="3"/>
      <c r="E45" s="3"/>
      <c r="F45" s="3"/>
      <c r="G45" s="3"/>
      <c r="H45" s="3"/>
      <c r="I45" s="3"/>
    </row>
    <row r="46" spans="2:13" x14ac:dyDescent="0.15">
      <c r="B46" s="3"/>
      <c r="C46" s="3"/>
      <c r="D46" s="3"/>
      <c r="E46" s="3"/>
      <c r="F46" s="3"/>
      <c r="G46" s="3"/>
      <c r="H46" s="3"/>
      <c r="I46" s="3"/>
      <c r="J46" s="3"/>
    </row>
    <row r="47" spans="2:13" ht="15.75" x14ac:dyDescent="0.15">
      <c r="B47" s="3"/>
      <c r="C47" s="3" t="s">
        <v>38</v>
      </c>
      <c r="D47" s="3"/>
      <c r="E47" s="3"/>
      <c r="F47" s="3"/>
      <c r="G47" s="3"/>
      <c r="H47" s="3"/>
      <c r="I47" s="3"/>
      <c r="J47" s="3"/>
    </row>
    <row r="48" spans="2:13" x14ac:dyDescent="0.15">
      <c r="B48" s="3"/>
      <c r="C48" s="3" t="str">
        <f>"　＝ 1 ／ 8 × "&amp;FIXED(WW,3)&amp;" × "&amp;FIXED(支間,3)&amp;" 　＝ "&amp;FIXED(1/8*WW*支間^2,3)&amp;" KN・m"</f>
        <v>　＝ 1 ／ 8 × 7.250 × 2.100 　＝ 3.997 KN・m</v>
      </c>
      <c r="D48" s="3"/>
      <c r="E48" s="3"/>
      <c r="F48" s="3"/>
      <c r="G48" s="57"/>
      <c r="J48" s="3"/>
    </row>
    <row r="49" spans="2:10" x14ac:dyDescent="0.15">
      <c r="B49" s="3"/>
      <c r="C49" s="18"/>
      <c r="D49" s="18"/>
      <c r="E49" s="56"/>
      <c r="F49" s="16"/>
      <c r="G49" s="97"/>
      <c r="H49" s="3"/>
    </row>
    <row r="50" spans="2:10" x14ac:dyDescent="0.15">
      <c r="B50" s="3"/>
      <c r="C50" s="3"/>
      <c r="D50" s="3"/>
      <c r="E50" s="3"/>
      <c r="F50" s="3"/>
      <c r="J50" s="3"/>
    </row>
    <row r="51" spans="2:10" x14ac:dyDescent="0.15">
      <c r="B51" s="3"/>
      <c r="C51" s="3" t="s">
        <v>39</v>
      </c>
      <c r="D51" s="3"/>
      <c r="E51" s="3"/>
      <c r="F51" s="3"/>
      <c r="G51" s="3"/>
      <c r="H51" s="3"/>
      <c r="I51" s="3"/>
      <c r="J51" s="3"/>
    </row>
    <row r="52" spans="2:10" x14ac:dyDescent="0.15">
      <c r="B52" s="3"/>
      <c r="C52" s="3"/>
      <c r="D52" s="3"/>
      <c r="E52" s="3"/>
      <c r="F52" s="3"/>
      <c r="G52" s="3"/>
      <c r="H52" s="3"/>
      <c r="I52" s="3"/>
      <c r="J52" s="3"/>
    </row>
    <row r="53" spans="2:10" x14ac:dyDescent="0.15">
      <c r="B53" s="3"/>
      <c r="C53" s="3" t="s">
        <v>40</v>
      </c>
      <c r="D53" s="3"/>
      <c r="E53" s="3"/>
      <c r="F53" s="3"/>
      <c r="G53" s="3"/>
      <c r="H53" s="3"/>
      <c r="I53" s="3"/>
      <c r="J53" s="3"/>
    </row>
    <row r="54" spans="2:10" x14ac:dyDescent="0.15">
      <c r="B54" s="3"/>
      <c r="C54" s="3" t="str">
        <f>"  ＝ "&amp;FIXED(MLI,3)&amp;" ＋ "&amp;FIXED(MD,3)&amp;" ＝ "&amp;FIXED(MLI+MD,3)&amp;" KN・m"</f>
        <v xml:space="preserve">  ＝ 43.360 ＋ 3.997 ＝ 47.357 KN・m</v>
      </c>
      <c r="D54" s="3"/>
      <c r="E54" s="3"/>
      <c r="F54" s="1"/>
      <c r="G54" s="58"/>
      <c r="H54" s="3"/>
      <c r="J54" s="3"/>
    </row>
    <row r="55" spans="2:10" x14ac:dyDescent="0.15">
      <c r="B55" s="3"/>
      <c r="C55" s="3"/>
      <c r="D55" s="59"/>
      <c r="E55" s="1"/>
      <c r="F55" s="16"/>
      <c r="G55" s="92"/>
      <c r="H55" s="3"/>
    </row>
    <row r="56" spans="2:10" x14ac:dyDescent="0.15">
      <c r="B56" s="3"/>
      <c r="C56" s="3"/>
      <c r="D56" s="3"/>
      <c r="E56" s="3"/>
      <c r="F56" s="3"/>
      <c r="G56" s="3"/>
    </row>
    <row r="57" spans="2:10" x14ac:dyDescent="0.15">
      <c r="B57" s="3" t="s">
        <v>41</v>
      </c>
      <c r="C57" s="3" t="s">
        <v>42</v>
      </c>
      <c r="D57" s="3"/>
      <c r="E57" s="3"/>
      <c r="F57" s="3"/>
      <c r="G57" s="3"/>
      <c r="H57" s="3"/>
      <c r="I57" s="3"/>
      <c r="J57" s="3"/>
    </row>
    <row r="58" spans="2:10" x14ac:dyDescent="0.15">
      <c r="B58" s="3"/>
      <c r="C58" s="3"/>
      <c r="D58" s="3"/>
      <c r="E58" s="3"/>
      <c r="F58" s="3"/>
      <c r="G58" s="3"/>
      <c r="H58" s="3"/>
      <c r="I58" s="3"/>
    </row>
    <row r="59" spans="2:10" x14ac:dyDescent="0.15">
      <c r="B59" s="3"/>
      <c r="C59" s="3" t="s">
        <v>132</v>
      </c>
      <c r="D59" s="3"/>
      <c r="E59" s="3"/>
      <c r="F59" s="3"/>
      <c r="G59" s="3"/>
      <c r="H59" s="3"/>
      <c r="I59" s="3"/>
      <c r="J59" s="3"/>
    </row>
    <row r="60" spans="2:10" x14ac:dyDescent="0.15">
      <c r="B60" s="3"/>
      <c r="C60" s="3" t="str">
        <f>"　＝ 0.80 × （ 0.06 × "&amp;FIXED(支間,3)&amp;" ＋ 0.06 ） × 100 ＝ "&amp;FIXED(0.8*(0.06*支間+0.06)*100,3)&amp;" KN・m"</f>
        <v>　＝ 0.80 × （ 0.06 × 2.100 ＋ 0.06 ） × 100 ＝ 14.880 KN・m</v>
      </c>
      <c r="D60" s="3"/>
      <c r="E60" s="3"/>
      <c r="F60" s="3"/>
      <c r="G60" s="3"/>
      <c r="H60" s="58"/>
      <c r="I60" s="3"/>
      <c r="J60" s="3"/>
    </row>
    <row r="61" spans="2:10" x14ac:dyDescent="0.15">
      <c r="B61" s="3"/>
      <c r="C61" s="3"/>
      <c r="D61" s="19"/>
      <c r="E61" s="69"/>
      <c r="F61" s="68"/>
      <c r="G61" s="98"/>
      <c r="H61" s="99"/>
      <c r="I61" s="3"/>
    </row>
    <row r="63" spans="2:10" x14ac:dyDescent="0.15">
      <c r="B63" s="3" t="s">
        <v>124</v>
      </c>
      <c r="C63" s="3"/>
      <c r="D63" s="3"/>
      <c r="E63" s="3"/>
      <c r="F63" s="3"/>
      <c r="G63" s="3"/>
      <c r="H63" s="3"/>
      <c r="I63" s="3"/>
      <c r="J63" s="3"/>
    </row>
    <row r="64" spans="2:10" x14ac:dyDescent="0.15">
      <c r="B64" s="3"/>
      <c r="C64" s="3"/>
      <c r="D64" s="3"/>
      <c r="E64" s="3"/>
      <c r="F64" s="3"/>
      <c r="G64" s="3"/>
      <c r="H64" s="3"/>
      <c r="I64" s="3"/>
      <c r="J64" s="3"/>
    </row>
    <row r="65" spans="2:10" x14ac:dyDescent="0.15">
      <c r="B65" s="3" t="s">
        <v>22</v>
      </c>
      <c r="C65" s="3" t="s">
        <v>125</v>
      </c>
      <c r="D65" s="3"/>
      <c r="E65" s="3"/>
      <c r="F65" s="3"/>
      <c r="G65" s="3"/>
      <c r="H65" s="3"/>
      <c r="I65" s="3"/>
      <c r="J65" s="3"/>
    </row>
    <row r="66" spans="2:10" x14ac:dyDescent="0.15">
      <c r="B66" s="3"/>
      <c r="C66" s="3"/>
      <c r="D66" s="3"/>
      <c r="E66" s="100"/>
      <c r="F66" s="3"/>
      <c r="G66" s="3"/>
      <c r="H66" s="3"/>
      <c r="I66" s="3"/>
      <c r="J66" s="3"/>
    </row>
    <row r="67" spans="2:10" x14ac:dyDescent="0.15">
      <c r="B67" s="3"/>
      <c r="C67" s="72" t="str">
        <f>"全厚 "&amp;FIXED(H,1)&amp;"cm かぶり "&amp;FIXED(かぶり,1)&amp;"cm 有効厚 "&amp;FIXED(有効厚,1)&amp;"cm とする。"</f>
        <v>全厚 25.0cm かぶり 7.0cm 有効厚 18.0cm とする。</v>
      </c>
      <c r="D67" s="101"/>
      <c r="E67" s="1"/>
      <c r="F67" s="23"/>
      <c r="G67" s="1"/>
      <c r="H67" s="23"/>
      <c r="I67" s="24"/>
    </row>
    <row r="68" spans="2:10" x14ac:dyDescent="0.15">
      <c r="B68" s="3"/>
      <c r="C68" s="3"/>
      <c r="D68" s="3"/>
      <c r="E68" s="3"/>
      <c r="F68" s="3"/>
      <c r="G68" s="3"/>
      <c r="H68" s="3"/>
      <c r="I68" s="3"/>
      <c r="J68" s="3"/>
    </row>
    <row r="69" spans="2:10" x14ac:dyDescent="0.15">
      <c r="B69" s="3" t="s">
        <v>41</v>
      </c>
      <c r="C69" s="3" t="s">
        <v>126</v>
      </c>
      <c r="D69" s="3"/>
      <c r="E69" s="3"/>
      <c r="F69" s="3"/>
      <c r="G69" s="3"/>
      <c r="H69" s="3"/>
      <c r="I69" s="3"/>
      <c r="J69" s="3"/>
    </row>
    <row r="70" spans="2:10" x14ac:dyDescent="0.15">
      <c r="B70" s="3"/>
      <c r="C70" s="3"/>
      <c r="D70" s="3"/>
      <c r="E70" s="3"/>
      <c r="F70" s="3" t="s">
        <v>57</v>
      </c>
      <c r="G70" s="3"/>
      <c r="H70" s="3"/>
      <c r="I70" s="3"/>
      <c r="J70" s="3"/>
    </row>
    <row r="71" spans="2:10" x14ac:dyDescent="0.15">
      <c r="B71" s="3"/>
      <c r="C71" s="72" t="str">
        <f>"鉄筋径　D"&amp;FIXED(支間方向鉄筋径,0)&amp;" を "&amp;FIXED(支間方向鉄筋間隔,2)&amp;"cm 間隔に配置する。"</f>
        <v>鉄筋径　D22 を 15.00cm 間隔に配置する。</v>
      </c>
      <c r="D71" s="3"/>
      <c r="E71" s="3"/>
      <c r="F71" s="3"/>
      <c r="G71" s="3"/>
      <c r="H71" s="3"/>
      <c r="I71" s="3"/>
      <c r="J71" s="3"/>
    </row>
    <row r="72" spans="2:10" x14ac:dyDescent="0.15">
      <c r="C72" s="3"/>
      <c r="D72" s="3"/>
      <c r="E72" s="3"/>
      <c r="F72" s="3"/>
      <c r="G72" s="3"/>
    </row>
    <row r="73" spans="2:10" x14ac:dyDescent="0.15">
      <c r="B73" s="3" t="s">
        <v>65</v>
      </c>
      <c r="C73" s="3" t="s">
        <v>127</v>
      </c>
      <c r="D73" s="3"/>
      <c r="E73" s="3"/>
      <c r="F73" s="3"/>
      <c r="G73" s="3"/>
      <c r="H73" s="3"/>
      <c r="I73" s="3"/>
      <c r="J73" s="3"/>
    </row>
    <row r="74" spans="2:10" x14ac:dyDescent="0.15">
      <c r="B74" s="3"/>
      <c r="C74" s="3"/>
      <c r="D74" s="3"/>
      <c r="E74" s="3"/>
      <c r="F74" s="3" t="s">
        <v>57</v>
      </c>
      <c r="G74" s="3"/>
      <c r="H74" s="3"/>
      <c r="I74" s="3"/>
      <c r="J74" s="3"/>
    </row>
    <row r="75" spans="2:10" x14ac:dyDescent="0.15">
      <c r="B75" s="3"/>
      <c r="C75" s="72" t="str">
        <f>"鉄筋径　D"&amp;FIXED(直角方向鉄筋径,0)&amp;" を "&amp;FIXED(直角方向鉄筋間隔,2)&amp;"cm 間隔に配置する。"</f>
        <v>鉄筋径　D19 を 15.00cm 間隔に配置する。</v>
      </c>
      <c r="D75" s="3"/>
      <c r="E75" s="3"/>
      <c r="F75" s="3"/>
      <c r="G75" s="3"/>
      <c r="H75" s="3"/>
      <c r="I75" s="3"/>
      <c r="J75" s="3"/>
    </row>
    <row r="76" spans="2:10" x14ac:dyDescent="0.15">
      <c r="B76" s="3"/>
      <c r="C76" s="3"/>
      <c r="D76" s="3"/>
      <c r="E76" s="3"/>
      <c r="F76" s="3"/>
      <c r="G76" s="3"/>
      <c r="H76" s="3"/>
      <c r="I76" s="3"/>
    </row>
    <row r="77" spans="2:10" x14ac:dyDescent="0.15">
      <c r="B77" s="3" t="s">
        <v>73</v>
      </c>
      <c r="C77" s="3"/>
      <c r="D77" s="3"/>
      <c r="E77" s="3"/>
      <c r="F77" s="3"/>
      <c r="G77" s="3"/>
      <c r="H77" s="3"/>
      <c r="I77" s="3"/>
    </row>
    <row r="78" spans="2:10" x14ac:dyDescent="0.15">
      <c r="B78" s="3"/>
      <c r="C78" s="3"/>
      <c r="D78" s="3"/>
      <c r="E78" s="3"/>
      <c r="F78" s="3"/>
      <c r="G78" s="3"/>
      <c r="H78" s="3"/>
      <c r="I78" s="3"/>
    </row>
    <row r="79" spans="2:10" x14ac:dyDescent="0.15">
      <c r="B79" s="3" t="s">
        <v>22</v>
      </c>
      <c r="C79" s="3" t="s">
        <v>2</v>
      </c>
      <c r="D79" s="3"/>
      <c r="E79" s="3"/>
      <c r="F79" s="3"/>
      <c r="G79" s="3"/>
      <c r="H79" s="3"/>
      <c r="I79" s="3"/>
    </row>
    <row r="80" spans="2:10" x14ac:dyDescent="0.15">
      <c r="B80" s="3"/>
      <c r="C80" s="3"/>
      <c r="D80" s="3"/>
      <c r="E80" s="3"/>
      <c r="F80" s="3"/>
      <c r="G80" s="3"/>
      <c r="H80" s="3"/>
      <c r="I80" s="3"/>
    </row>
    <row r="81" spans="2:10" x14ac:dyDescent="0.15">
      <c r="C81" s="3" t="s">
        <v>74</v>
      </c>
      <c r="D81" s="3"/>
      <c r="E81" s="3"/>
      <c r="F81" s="3"/>
      <c r="G81" s="3"/>
      <c r="H81" s="3"/>
      <c r="I81" s="3"/>
    </row>
    <row r="82" spans="2:10" x14ac:dyDescent="0.15">
      <c r="C82" s="3" t="str">
        <f>"　＝ "&amp;FIXED(AS,2)&amp;" ／ （ 100 × "&amp;FIXED(SD,1)&amp;"） ＝"&amp;FIXED(AS/(100*SD),4)</f>
        <v>　＝ 25.81 ／ （ 100 × 18.0） ＝0.0143</v>
      </c>
      <c r="D82" s="3"/>
      <c r="E82" s="3"/>
      <c r="F82" s="30"/>
      <c r="G82" s="3"/>
      <c r="H82" s="3"/>
      <c r="I82" s="3"/>
    </row>
    <row r="83" spans="2:10" x14ac:dyDescent="0.15">
      <c r="B83" s="3"/>
      <c r="C83" s="21" t="str">
        <f>"　　ｋ："&amp;FIXED(K,3)</f>
        <v>　　ｋ：0.475</v>
      </c>
      <c r="D83" s="21"/>
      <c r="E83" s="3"/>
      <c r="F83" s="3"/>
      <c r="G83" s="3"/>
      <c r="H83" s="3"/>
      <c r="I83" s="3"/>
    </row>
    <row r="84" spans="2:10" x14ac:dyDescent="0.15">
      <c r="B84" s="3"/>
      <c r="C84" s="21" t="str">
        <f>"　　ｊ："&amp;FIXED(J,3)</f>
        <v>　　ｊ：0.842</v>
      </c>
      <c r="D84" s="21"/>
      <c r="E84" s="3"/>
      <c r="F84" s="3"/>
      <c r="G84" s="3"/>
      <c r="H84" s="3"/>
    </row>
    <row r="86" spans="2:10" x14ac:dyDescent="0.15">
      <c r="B86" s="3"/>
      <c r="C86" s="3" t="s">
        <v>77</v>
      </c>
      <c r="D86" s="3"/>
      <c r="E86" s="3"/>
      <c r="F86" s="3"/>
      <c r="G86" s="3"/>
      <c r="H86" s="3"/>
      <c r="I86" s="3"/>
    </row>
    <row r="87" spans="2:10" x14ac:dyDescent="0.15">
      <c r="B87" s="3"/>
      <c r="C87" s="3"/>
      <c r="D87" s="3"/>
      <c r="E87" s="3"/>
      <c r="F87" s="3"/>
      <c r="G87" s="3"/>
      <c r="H87" s="3"/>
      <c r="I87" s="3"/>
    </row>
    <row r="88" spans="2:10" x14ac:dyDescent="0.15">
      <c r="C88" s="3" t="s">
        <v>78</v>
      </c>
      <c r="D88" s="3"/>
      <c r="E88" s="3"/>
      <c r="F88" s="3"/>
      <c r="G88" s="3"/>
      <c r="H88" s="3"/>
      <c r="I88" s="3"/>
    </row>
    <row r="89" spans="2:10" x14ac:dyDescent="0.15">
      <c r="C89" s="3" t="str">
        <f>"　＝ "&amp;FIXED(_M1,3)&amp;" × 1000 ／ （ "&amp;FIXED(AS,2)&amp;" × "&amp;FIXED(J,3)&amp;" × "&amp;FIXED(SD,1)&amp;" ） ＝"&amp;FIXED(_M1*1000/(AS*J*SD),1)</f>
        <v>　＝ 47.357 × 1000 ／ （ 25.81 × 0.842 × 18.0 ） ＝121.1</v>
      </c>
      <c r="D89" s="3"/>
      <c r="E89" s="3"/>
      <c r="F89" s="3"/>
      <c r="G89" s="3"/>
      <c r="H89" s="63"/>
      <c r="I89" s="3"/>
    </row>
    <row r="90" spans="2:10" ht="15.75" x14ac:dyDescent="0.15">
      <c r="B90" s="3"/>
      <c r="C90" s="3"/>
      <c r="D90" s="3"/>
      <c r="E90" s="3"/>
      <c r="F90" s="3"/>
      <c r="G90" s="16" t="str">
        <f>IF(σs&lt;σsa,"＜","＞")</f>
        <v>＜</v>
      </c>
      <c r="H90" s="15">
        <f>σsa</f>
        <v>140</v>
      </c>
      <c r="I90" s="72" t="s">
        <v>108</v>
      </c>
    </row>
    <row r="91" spans="2:10" x14ac:dyDescent="0.15">
      <c r="B91" s="3"/>
      <c r="C91" s="3"/>
      <c r="D91" s="3"/>
      <c r="E91" s="3"/>
      <c r="F91" s="3"/>
      <c r="G91" s="16"/>
      <c r="H91" s="15"/>
      <c r="I91" s="102" t="str">
        <f>IF(σs&lt;σsa,"ＯＫ！","ＮＯ！")</f>
        <v>ＯＫ！</v>
      </c>
      <c r="J91" s="102"/>
    </row>
    <row r="92" spans="2:10" x14ac:dyDescent="0.15">
      <c r="B92" s="3"/>
      <c r="C92" s="3"/>
      <c r="D92" s="3"/>
      <c r="E92" s="3"/>
      <c r="F92" s="3"/>
      <c r="G92" s="3"/>
      <c r="H92" s="3"/>
      <c r="I92" s="3"/>
    </row>
    <row r="93" spans="2:10" x14ac:dyDescent="0.15">
      <c r="B93" s="3"/>
      <c r="C93" s="3" t="s">
        <v>79</v>
      </c>
      <c r="D93" s="3"/>
      <c r="E93" s="3"/>
      <c r="F93" s="3"/>
      <c r="G93" s="3"/>
      <c r="H93" s="3"/>
      <c r="I93" s="3"/>
    </row>
    <row r="94" spans="2:10" x14ac:dyDescent="0.15">
      <c r="B94" s="3"/>
      <c r="C94" s="3"/>
      <c r="D94" s="3"/>
      <c r="E94" s="3"/>
      <c r="F94" s="3"/>
      <c r="G94" s="3"/>
      <c r="H94" s="3"/>
      <c r="I94" s="3"/>
    </row>
    <row r="95" spans="2:10" ht="15.75" x14ac:dyDescent="0.15">
      <c r="C95" s="3" t="s">
        <v>109</v>
      </c>
      <c r="D95" s="3"/>
      <c r="E95" s="3"/>
      <c r="F95" s="3"/>
      <c r="G95" s="3"/>
      <c r="H95" s="3"/>
      <c r="I95" s="3"/>
    </row>
    <row r="96" spans="2:10" x14ac:dyDescent="0.15">
      <c r="C96" s="3" t="str">
        <f>"　＝ 2 × "&amp;FIXED(_M1,3)&amp;" × 1000 ／ （ "&amp;FIXED(K,3)&amp;" × "&amp;FIXED(J,3)&amp;" × 100 × "&amp;FIXED(SD,1)&amp;" 　） ＝"&amp;FIXED(2*_M1*1000/(K*J*100*SD^2),1)</f>
        <v>　＝ 2 × 47.357 × 1000 ／ （ 0.475 × 0.842 × 100 × 18.0 　） ＝7.3</v>
      </c>
      <c r="D96" s="3"/>
      <c r="E96" s="3"/>
      <c r="F96" s="3"/>
      <c r="G96" s="3"/>
      <c r="H96" s="3"/>
      <c r="I96" s="3"/>
      <c r="J96" s="62"/>
    </row>
    <row r="97" spans="2:10" ht="15.75" x14ac:dyDescent="0.15">
      <c r="B97" s="3"/>
      <c r="C97" s="3"/>
      <c r="D97" s="3"/>
      <c r="E97" s="3"/>
      <c r="F97" s="3"/>
      <c r="G97" s="16" t="str">
        <f>IF(σc&lt;σca,"＜","＞")</f>
        <v>＜</v>
      </c>
      <c r="H97" s="15">
        <f>σca</f>
        <v>8</v>
      </c>
      <c r="I97" s="72" t="s">
        <v>108</v>
      </c>
    </row>
    <row r="98" spans="2:10" x14ac:dyDescent="0.15">
      <c r="B98" s="3"/>
      <c r="C98" s="3"/>
      <c r="D98" s="3"/>
      <c r="E98" s="3"/>
      <c r="F98" s="3"/>
      <c r="G98" s="16"/>
      <c r="H98" s="15"/>
      <c r="I98" s="102" t="str">
        <f>IF(σc&lt;σca,"ＯＫ！","ＮＯ！")</f>
        <v>ＯＫ！</v>
      </c>
      <c r="J98" s="102"/>
    </row>
    <row r="99" spans="2:10" x14ac:dyDescent="0.15">
      <c r="B99" s="3"/>
      <c r="C99" s="3"/>
      <c r="D99" s="3"/>
      <c r="E99" s="3"/>
      <c r="F99" s="3"/>
      <c r="G99" s="3"/>
      <c r="H99" s="3"/>
      <c r="I99" s="3"/>
    </row>
    <row r="100" spans="2:10" x14ac:dyDescent="0.15">
      <c r="B100" s="3" t="s">
        <v>41</v>
      </c>
      <c r="C100" s="3" t="s">
        <v>80</v>
      </c>
      <c r="D100" s="3"/>
      <c r="E100" s="3"/>
      <c r="F100" s="3"/>
      <c r="G100" s="3"/>
      <c r="H100" s="3"/>
      <c r="I100" s="3"/>
    </row>
    <row r="101" spans="2:10" x14ac:dyDescent="0.15">
      <c r="B101" s="3"/>
      <c r="C101" s="3"/>
      <c r="D101" s="3"/>
      <c r="E101" s="3"/>
      <c r="F101" s="3"/>
      <c r="G101" s="3"/>
      <c r="H101" s="3"/>
      <c r="I101" s="3"/>
    </row>
    <row r="102" spans="2:10" x14ac:dyDescent="0.15">
      <c r="C102" s="3" t="s">
        <v>81</v>
      </c>
      <c r="D102" s="3"/>
      <c r="E102" s="3"/>
      <c r="F102" s="3"/>
      <c r="G102" s="3"/>
      <c r="H102" s="3"/>
      <c r="I102" s="3"/>
    </row>
    <row r="103" spans="2:10" x14ac:dyDescent="0.15">
      <c r="C103" s="3" t="str">
        <f>"　＝ "&amp;FIXED(FS,2)&amp;" ／ （ 100 × "&amp;FIXED(SD,1)&amp;"） ＝"&amp;FIXED(FS/(100*SD),4)</f>
        <v>　＝ 19.10 ／ （ 100 × 18.0） ＝0.0106</v>
      </c>
      <c r="D103" s="3"/>
      <c r="E103" s="3"/>
      <c r="F103" s="30"/>
      <c r="G103" s="3"/>
      <c r="H103" s="3"/>
      <c r="I103" s="3"/>
    </row>
    <row r="104" spans="2:10" x14ac:dyDescent="0.15">
      <c r="B104" s="3"/>
      <c r="C104" s="21" t="str">
        <f>"　　ｋ："&amp;FIXED(_k2,3)</f>
        <v>　　ｋ：0.427</v>
      </c>
      <c r="D104" s="21"/>
      <c r="E104" s="3"/>
      <c r="F104" s="3"/>
      <c r="G104" s="3"/>
      <c r="H104" s="3"/>
      <c r="I104" s="3"/>
    </row>
    <row r="105" spans="2:10" x14ac:dyDescent="0.15">
      <c r="B105" s="3"/>
      <c r="C105" s="21" t="str">
        <f>"　　ｊ："&amp;FIXED(_j2,3)</f>
        <v>　　ｊ：0.858</v>
      </c>
      <c r="D105" s="21"/>
      <c r="E105" s="3"/>
      <c r="F105" s="3"/>
      <c r="G105" s="3"/>
      <c r="H105" s="3"/>
      <c r="I105" s="3"/>
    </row>
    <row r="106" spans="2:10" x14ac:dyDescent="0.15">
      <c r="B106" s="3"/>
      <c r="C106" s="3"/>
      <c r="D106" s="3"/>
      <c r="E106" s="3"/>
      <c r="F106" s="3"/>
      <c r="G106" s="3"/>
      <c r="H106" s="3"/>
      <c r="I106" s="3"/>
    </row>
    <row r="107" spans="2:10" x14ac:dyDescent="0.15">
      <c r="B107" s="3"/>
      <c r="C107" s="3"/>
      <c r="D107" s="3"/>
      <c r="E107" s="3"/>
      <c r="F107" s="3"/>
      <c r="G107" s="3"/>
      <c r="H107" s="3"/>
      <c r="I107" s="3"/>
    </row>
    <row r="108" spans="2:10" x14ac:dyDescent="0.15">
      <c r="B108" s="3"/>
      <c r="C108" s="3" t="s">
        <v>82</v>
      </c>
      <c r="D108" s="3"/>
      <c r="E108" s="3"/>
      <c r="F108" s="3"/>
      <c r="G108" s="3"/>
      <c r="H108" s="3"/>
      <c r="I108" s="3"/>
    </row>
    <row r="109" spans="2:10" x14ac:dyDescent="0.15">
      <c r="C109" s="3" t="s">
        <v>83</v>
      </c>
      <c r="D109" s="3"/>
      <c r="E109" s="3"/>
      <c r="F109" s="3"/>
      <c r="G109" s="3"/>
      <c r="H109" s="3"/>
      <c r="I109" s="3"/>
    </row>
    <row r="110" spans="2:10" x14ac:dyDescent="0.15">
      <c r="C110" s="3" t="str">
        <f>"　＝ "&amp;FIXED(_M2,3)&amp;" × 1000 ／ （ "&amp;FIXED(FS,2)&amp;" × "&amp;FIXED(_j2,3)&amp;" × "&amp;FIXED(SD,1)&amp;" ） ＝"&amp;FIXED(_M2*1000/(FS*_j2*SD),1)</f>
        <v>　＝ 14.880 × 1000 ／ （ 19.10 × 0.858 × 18.0 ） ＝50.4</v>
      </c>
      <c r="D110" s="3"/>
      <c r="E110" s="3"/>
      <c r="F110" s="3"/>
      <c r="G110" s="3"/>
      <c r="H110" s="64"/>
      <c r="I110" s="3"/>
    </row>
    <row r="111" spans="2:10" ht="15.75" x14ac:dyDescent="0.15">
      <c r="B111" s="3"/>
      <c r="C111" s="3"/>
      <c r="D111" s="3"/>
      <c r="E111" s="3"/>
      <c r="F111" s="3"/>
      <c r="G111" s="16" t="str">
        <f>IF(σs2&lt;σsa,"＜","＞")</f>
        <v>＜</v>
      </c>
      <c r="H111" s="15">
        <f>σsa</f>
        <v>140</v>
      </c>
      <c r="I111" s="72" t="s">
        <v>108</v>
      </c>
    </row>
    <row r="112" spans="2:10" x14ac:dyDescent="0.15">
      <c r="B112" s="3"/>
      <c r="C112" s="3"/>
      <c r="D112" s="3"/>
      <c r="E112" s="3"/>
      <c r="F112" s="3"/>
      <c r="G112" s="16"/>
      <c r="H112" s="15"/>
      <c r="I112" s="102" t="str">
        <f>IF(σs2&lt;σsa,"ＯＫ！","ＮＯ！")</f>
        <v>ＯＫ！</v>
      </c>
      <c r="J112" s="102"/>
    </row>
    <row r="113" spans="2:10" x14ac:dyDescent="0.15">
      <c r="B113" s="3"/>
      <c r="C113" s="3"/>
      <c r="D113" s="3"/>
      <c r="E113" s="3"/>
      <c r="F113" s="3"/>
      <c r="G113" s="3"/>
      <c r="H113" s="3"/>
      <c r="I113" s="3"/>
    </row>
    <row r="114" spans="2:10" x14ac:dyDescent="0.15">
      <c r="B114" s="3"/>
      <c r="C114" s="3" t="s">
        <v>79</v>
      </c>
      <c r="D114" s="3"/>
      <c r="E114" s="3"/>
      <c r="F114" s="3"/>
      <c r="G114" s="3"/>
      <c r="H114" s="3"/>
      <c r="I114" s="3"/>
    </row>
    <row r="115" spans="2:10" x14ac:dyDescent="0.15">
      <c r="B115" s="3"/>
      <c r="C115" s="3"/>
      <c r="D115" s="3"/>
      <c r="E115" s="3"/>
      <c r="F115" s="3"/>
      <c r="G115" s="3"/>
      <c r="H115" s="3"/>
      <c r="I115" s="3"/>
    </row>
    <row r="116" spans="2:10" ht="15.75" x14ac:dyDescent="0.15">
      <c r="C116" s="3" t="s">
        <v>110</v>
      </c>
      <c r="D116" s="3"/>
      <c r="E116" s="3"/>
      <c r="F116" s="3"/>
      <c r="G116" s="3"/>
      <c r="H116" s="3"/>
      <c r="I116" s="3"/>
    </row>
    <row r="117" spans="2:10" x14ac:dyDescent="0.15">
      <c r="C117" s="3" t="str">
        <f>"　＝ 2 × "&amp;FIXED(_M2,3)&amp;" × 1000 ／ （ "&amp;FIXED(_k2,3)&amp;" × "&amp;FIXED(_j2,3)&amp;" × 100 × "&amp;FIXED(SD,1)&amp;" 　） ＝"&amp;FIXED(2*_M2*1000/(_k2*_j2*100*SD^2),1)</f>
        <v>　＝ 2 × 14.880 × 1000 ／ （ 0.427 × 0.858 × 100 × 18.0 　） ＝2.5</v>
      </c>
      <c r="D117" s="3"/>
      <c r="E117" s="3"/>
      <c r="F117" s="3"/>
      <c r="G117" s="3"/>
      <c r="H117" s="3"/>
      <c r="I117" s="3"/>
      <c r="J117" s="65"/>
    </row>
    <row r="118" spans="2:10" ht="15.75" x14ac:dyDescent="0.15">
      <c r="B118" s="3"/>
      <c r="C118" s="3"/>
      <c r="D118" s="3"/>
      <c r="E118" s="3"/>
      <c r="F118" s="3"/>
      <c r="G118" s="16" t="str">
        <f>IF(σc2&lt;σca,"＜","＞")</f>
        <v>＜</v>
      </c>
      <c r="H118" s="15">
        <f>σca</f>
        <v>8</v>
      </c>
      <c r="I118" s="72" t="s">
        <v>108</v>
      </c>
    </row>
    <row r="119" spans="2:10" x14ac:dyDescent="0.15">
      <c r="B119" s="3"/>
      <c r="C119" s="3"/>
      <c r="D119" s="3"/>
      <c r="E119" s="3"/>
      <c r="F119" s="3"/>
      <c r="G119" s="3"/>
      <c r="H119" s="3"/>
      <c r="I119" s="102" t="str">
        <f>IF(σc2&lt;σca,"ＯＫ！","ＮＯ！")</f>
        <v>ＯＫ！</v>
      </c>
    </row>
  </sheetData>
  <sheetProtection algorithmName="SHA-512" hashValue="epEjczvFdo7Zmh1komv6bvYNxADskYFr5v2fZnaPpPj5KVdiDSUCFm56Yu017Ic3KffADKm8HbUtW9tP1VypEQ==" saltValue="9CxB4F31TO58khLZPMq96A==" spinCount="100000" sheet="1" objects="1" scenarios="1"/>
  <phoneticPr fontId="12"/>
  <printOptions gridLinesSet="0"/>
  <pageMargins left="0.54" right="0.21" top="0.53" bottom="0.53" header="0.5" footer="0.5"/>
  <pageSetup paperSize="9" orientation="portrait" horizontalDpi="4294967292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5715-77BE-435D-ACF2-38FB468068E1}">
  <dimension ref="A1"/>
  <sheetViews>
    <sheetView workbookViewId="0">
      <selection activeCell="H14" sqref="H14"/>
    </sheetView>
  </sheetViews>
  <sheetFormatPr defaultRowHeight="13.5" x14ac:dyDescent="0.15"/>
  <sheetData>
    <row r="1" spans="1:1" x14ac:dyDescent="0.15">
      <c r="A1" t="s">
        <v>133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38</vt:i4>
      </vt:variant>
    </vt:vector>
  </HeadingPairs>
  <TitlesOfParts>
    <vt:vector size="41" baseType="lpstr">
      <vt:lpstr>データー入力</vt:lpstr>
      <vt:lpstr>出力シート</vt:lpstr>
      <vt:lpstr>編集時</vt:lpstr>
      <vt:lpstr>_CC1</vt:lpstr>
      <vt:lpstr>_CC2</vt:lpstr>
      <vt:lpstr>_j2</vt:lpstr>
      <vt:lpstr>_k2</vt:lpstr>
      <vt:lpstr>_M1</vt:lpstr>
      <vt:lpstr>_M2</vt:lpstr>
      <vt:lpstr>AS</vt:lpstr>
      <vt:lpstr>FS</vt:lpstr>
      <vt:lpstr>H</vt:lpstr>
      <vt:lpstr>J</vt:lpstr>
      <vt:lpstr>K</vt:lpstr>
      <vt:lpstr>MD</vt:lpstr>
      <vt:lpstr>MLI</vt:lpstr>
      <vt:lpstr>データー入力!Print_Area</vt:lpstr>
      <vt:lpstr>出力シート!Print_Area</vt:lpstr>
      <vt:lpstr>RF</vt:lpstr>
      <vt:lpstr>SD</vt:lpstr>
      <vt:lpstr>W</vt:lpstr>
      <vt:lpstr>WW</vt:lpstr>
      <vt:lpstr>σc</vt:lpstr>
      <vt:lpstr>σc2</vt:lpstr>
      <vt:lpstr>σca</vt:lpstr>
      <vt:lpstr>σs</vt:lpstr>
      <vt:lpstr>σs2</vt:lpstr>
      <vt:lpstr>σsa</vt:lpstr>
      <vt:lpstr>かぶり</vt:lpstr>
      <vt:lpstr>支間</vt:lpstr>
      <vt:lpstr>支間方向鉄筋間隔</vt:lpstr>
      <vt:lpstr>支間方向鉄筋径</vt:lpstr>
      <vt:lpstr>床版厚</vt:lpstr>
      <vt:lpstr>直角方向鉄筋間隔</vt:lpstr>
      <vt:lpstr>直角方向鉄筋径</vt:lpstr>
      <vt:lpstr>鉄筋表1</vt:lpstr>
      <vt:lpstr>鉄筋表2</vt:lpstr>
      <vt:lpstr>幅員</vt:lpstr>
      <vt:lpstr>舗装厚</vt:lpstr>
      <vt:lpstr>舗装種別</vt:lpstr>
      <vt:lpstr>有効厚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株式会社オガワ設計技術</dc:creator>
  <cp:lastModifiedBy>株式会社オガワ設計技術</cp:lastModifiedBy>
  <cp:lastPrinted>2005-05-13T01:35:03Z</cp:lastPrinted>
  <dcterms:created xsi:type="dcterms:W3CDTF">2003-12-15T02:28:30Z</dcterms:created>
  <dcterms:modified xsi:type="dcterms:W3CDTF">2025-12-24T02:31:20Z</dcterms:modified>
</cp:coreProperties>
</file>